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OJETS\Label_ECi\00_Référentiel_ECi\"/>
    </mc:Choice>
  </mc:AlternateContent>
  <bookViews>
    <workbookView xWindow="0" yWindow="0" windowWidth="19170" windowHeight="5850" activeTab="4"/>
  </bookViews>
  <sheets>
    <sheet name="Préambule" sheetId="4" r:id="rId1"/>
    <sheet name="Axe 1" sheetId="1" r:id="rId2"/>
    <sheet name="Axe 2" sheetId="3" r:id="rId3"/>
    <sheet name="Liens axe 2" sheetId="11" state="hidden" r:id="rId4"/>
    <sheet name="Axe 3" sheetId="6" r:id="rId5"/>
    <sheet name="Axe 4" sheetId="8" r:id="rId6"/>
    <sheet name="Axe 5" sheetId="9" r:id="rId7"/>
    <sheet name="trame filière" sheetId="14" r:id="rId8"/>
    <sheet name="(Dé)Construction et aménagement" sheetId="16" r:id="rId9"/>
    <sheet name="Alimentation" sheetId="15" r:id="rId10"/>
    <sheet name="Indicateurs - en cours" sheetId="21" r:id="rId11"/>
    <sheet name="Note finale" sheetId="13" r:id="rId12"/>
    <sheet name="Règlementation" sheetId="17" r:id="rId13"/>
    <sheet name="Pour en savoir +" sheetId="20" r:id="rId14"/>
  </sheets>
  <externalReferences>
    <externalReference r:id="rId15"/>
    <externalReference r:id="rId16"/>
  </externalReferences>
  <definedNames>
    <definedName name="Accounts">#REF!</definedName>
    <definedName name="Accounts_OPX">#REF!</definedName>
    <definedName name="_xlnm.Database">#REF!</definedName>
    <definedName name="Base_de_donnees_OPX">#REF!</definedName>
    <definedName name="datab">#REF!</definedName>
    <definedName name="datab_OPX">#REF!</definedName>
    <definedName name="_xlnm.Print_Titles" localSheetId="1">'Axe 1'!$1:$1</definedName>
    <definedName name="_xlnm.Print_Titles" localSheetId="2">'Axe 2'!$1:$1</definedName>
    <definedName name="_xlnm.Print_Titles" localSheetId="4">'Axe 3'!$1:$1</definedName>
    <definedName name="note">'[1]ESANE - 2014'!#REF!</definedName>
    <definedName name="note_OPX">'[1]ESANE - 2014'!#REF!</definedName>
    <definedName name="skrange">'[2]0800Trimmed'!$F$35:$AU$154</definedName>
    <definedName name="source">'[1]ESANE - 2014'!#REF!</definedName>
    <definedName name="source_OPX">'[1]ESANE - 2014'!#REF!</definedName>
    <definedName name="titre">'[1]ESANE - 2014'!#REF!</definedName>
    <definedName name="titre_OPX">'[1]ESANE - 2014'!#REF!</definedName>
    <definedName name="unite">'[1]ESANE - 2014'!#REF!</definedName>
    <definedName name="unite_OPX">'[1]ESANE - 2014'!#REF!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7" i="13" l="1"/>
  <c r="X31" i="3" l="1"/>
  <c r="X40" i="3"/>
  <c r="X49" i="3"/>
  <c r="X58" i="3"/>
  <c r="X67" i="3"/>
  <c r="S31" i="3"/>
  <c r="S40" i="3"/>
  <c r="S49" i="3"/>
  <c r="S58" i="3"/>
  <c r="S67" i="3"/>
  <c r="N18" i="8"/>
  <c r="N31" i="3"/>
  <c r="N40" i="3"/>
  <c r="N49" i="3"/>
  <c r="N58" i="3"/>
  <c r="N67" i="3"/>
  <c r="U23" i="13"/>
  <c r="S23" i="13"/>
  <c r="W14" i="13"/>
  <c r="G39" i="3"/>
  <c r="G38" i="3"/>
  <c r="G37" i="3"/>
  <c r="G36" i="3"/>
  <c r="G35" i="3"/>
  <c r="G34" i="3"/>
  <c r="G33" i="3"/>
  <c r="G32" i="3"/>
  <c r="G31" i="3"/>
  <c r="N5" i="13" l="1"/>
  <c r="H6" i="3" l="1"/>
  <c r="H7" i="3"/>
  <c r="H8" i="3"/>
  <c r="H9" i="3"/>
  <c r="H10" i="3"/>
  <c r="H11" i="3"/>
  <c r="H13" i="3"/>
  <c r="H14" i="3"/>
  <c r="H15" i="3"/>
  <c r="H16" i="3"/>
  <c r="H17" i="3"/>
  <c r="H18" i="3"/>
  <c r="H19" i="3"/>
  <c r="H20" i="3"/>
  <c r="H21" i="3"/>
  <c r="H22" i="3"/>
  <c r="H23" i="3"/>
  <c r="H24" i="3"/>
  <c r="H25" i="3"/>
  <c r="H27" i="3"/>
  <c r="H28" i="3"/>
  <c r="H29" i="3"/>
  <c r="H30"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H77" i="3"/>
  <c r="H78" i="3"/>
  <c r="H79" i="3"/>
  <c r="H80" i="3"/>
  <c r="H81" i="3"/>
  <c r="H82" i="3"/>
  <c r="H83" i="3"/>
  <c r="H84" i="3"/>
  <c r="H85" i="3"/>
  <c r="H86" i="3"/>
  <c r="H87" i="3"/>
  <c r="H88" i="3"/>
  <c r="H89" i="3"/>
  <c r="H90" i="3"/>
  <c r="H91" i="3"/>
  <c r="H92" i="3"/>
  <c r="H93" i="3"/>
  <c r="H94" i="3"/>
  <c r="H95" i="3"/>
  <c r="H97" i="3"/>
  <c r="H98" i="3"/>
  <c r="H99" i="3"/>
  <c r="H100" i="3"/>
  <c r="H101" i="3"/>
  <c r="H102" i="3"/>
  <c r="H103" i="3"/>
  <c r="H104" i="3"/>
  <c r="H6" i="1"/>
  <c r="H7" i="1"/>
  <c r="H8" i="1"/>
  <c r="H9" i="1"/>
  <c r="H10" i="1"/>
  <c r="H11" i="1"/>
  <c r="H12" i="1"/>
  <c r="H13" i="1"/>
  <c r="H14" i="1"/>
  <c r="H15" i="1"/>
  <c r="H17" i="1"/>
  <c r="H18" i="1"/>
  <c r="H19" i="1"/>
  <c r="H21" i="1"/>
  <c r="H22" i="1"/>
  <c r="H23" i="1"/>
  <c r="H24" i="1"/>
  <c r="H26" i="1"/>
  <c r="H27" i="1"/>
  <c r="H28" i="1"/>
  <c r="H29" i="1"/>
  <c r="D172" i="21"/>
  <c r="D173" i="21"/>
  <c r="D174" i="21"/>
  <c r="D175" i="21"/>
  <c r="D176" i="21"/>
  <c r="D177" i="21"/>
  <c r="D178" i="21"/>
  <c r="D179" i="21"/>
  <c r="D180" i="21"/>
  <c r="D181" i="21"/>
  <c r="D182" i="21"/>
  <c r="D183" i="21"/>
  <c r="D184" i="21"/>
  <c r="D185" i="21"/>
  <c r="D186" i="21"/>
  <c r="D187" i="21"/>
  <c r="D171" i="21"/>
  <c r="D153" i="21"/>
  <c r="D154" i="21"/>
  <c r="D155" i="21"/>
  <c r="D156" i="21"/>
  <c r="D157" i="21"/>
  <c r="D158" i="21"/>
  <c r="D159" i="21"/>
  <c r="D160" i="21"/>
  <c r="D161" i="21"/>
  <c r="D162" i="21"/>
  <c r="D163" i="21"/>
  <c r="D164" i="21"/>
  <c r="D165" i="21"/>
  <c r="D166" i="21"/>
  <c r="D167" i="21"/>
  <c r="D168" i="21"/>
  <c r="D169" i="21"/>
  <c r="D152" i="21"/>
  <c r="D107" i="21"/>
  <c r="D108" i="21"/>
  <c r="D109" i="21"/>
  <c r="D110" i="21"/>
  <c r="D111" i="21"/>
  <c r="D112" i="21"/>
  <c r="D113" i="21"/>
  <c r="D114" i="21"/>
  <c r="D115" i="21"/>
  <c r="D116" i="21"/>
  <c r="D117" i="21"/>
  <c r="D118" i="21"/>
  <c r="D119" i="21"/>
  <c r="D120" i="21"/>
  <c r="D121" i="21"/>
  <c r="D122" i="21"/>
  <c r="D123" i="21"/>
  <c r="D124" i="21"/>
  <c r="D125" i="21"/>
  <c r="D126" i="21"/>
  <c r="D127" i="21"/>
  <c r="D128" i="21"/>
  <c r="D129" i="21"/>
  <c r="D130" i="21"/>
  <c r="D131" i="21"/>
  <c r="D132" i="21"/>
  <c r="D133" i="21"/>
  <c r="D134" i="21"/>
  <c r="D135" i="21"/>
  <c r="D136" i="21"/>
  <c r="D137" i="21"/>
  <c r="D138" i="21"/>
  <c r="D139" i="21"/>
  <c r="D140" i="21"/>
  <c r="D141" i="21"/>
  <c r="D142" i="21"/>
  <c r="D143" i="21"/>
  <c r="D144" i="21"/>
  <c r="D145" i="21"/>
  <c r="D146" i="21"/>
  <c r="D147" i="21"/>
  <c r="D148" i="21"/>
  <c r="D149" i="21"/>
  <c r="D150" i="21"/>
  <c r="D106"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78" i="21"/>
  <c r="D50" i="21"/>
  <c r="D42" i="21"/>
  <c r="D43" i="21"/>
  <c r="D44" i="21"/>
  <c r="D45" i="21"/>
  <c r="D46" i="21"/>
  <c r="D47" i="21"/>
  <c r="D48" i="21"/>
  <c r="D49" i="21"/>
  <c r="D28" i="21"/>
  <c r="D29" i="21"/>
  <c r="D30" i="21"/>
  <c r="D31" i="21"/>
  <c r="D32" i="21"/>
  <c r="D33" i="21"/>
  <c r="D34" i="21"/>
  <c r="D35" i="21"/>
  <c r="D36" i="21"/>
  <c r="D37" i="21"/>
  <c r="D38" i="21"/>
  <c r="D39" i="21"/>
  <c r="D40" i="21"/>
  <c r="D41" i="21"/>
  <c r="D27" i="21"/>
  <c r="D6" i="21"/>
  <c r="D7" i="21"/>
  <c r="D8" i="21"/>
  <c r="D9" i="21"/>
  <c r="D10" i="21"/>
  <c r="D11" i="21"/>
  <c r="D12" i="21"/>
  <c r="D13" i="21"/>
  <c r="D14" i="21"/>
  <c r="D15" i="21"/>
  <c r="D16" i="21"/>
  <c r="D17" i="21"/>
  <c r="D18" i="21"/>
  <c r="D19" i="21"/>
  <c r="D20" i="21"/>
  <c r="D21" i="21"/>
  <c r="D22" i="21"/>
  <c r="D23" i="21"/>
  <c r="D24" i="21"/>
  <c r="D25" i="21"/>
  <c r="D5" i="21"/>
  <c r="I55" i="3" l="1"/>
  <c r="I51" i="3"/>
  <c r="I52" i="3"/>
  <c r="I54" i="3"/>
  <c r="I50" i="3"/>
  <c r="I57" i="3"/>
  <c r="I53" i="3"/>
  <c r="I56" i="3"/>
  <c r="I37" i="3"/>
  <c r="I33" i="3"/>
  <c r="I34" i="3"/>
  <c r="I36" i="3"/>
  <c r="I32" i="3"/>
  <c r="I39" i="3"/>
  <c r="I35" i="3"/>
  <c r="I38" i="3"/>
  <c r="I46" i="3"/>
  <c r="I42" i="3"/>
  <c r="I47" i="3"/>
  <c r="I45" i="3"/>
  <c r="I41" i="3"/>
  <c r="I48" i="3"/>
  <c r="I44" i="3"/>
  <c r="I43" i="3"/>
  <c r="I64" i="3"/>
  <c r="I60" i="3"/>
  <c r="I63" i="3"/>
  <c r="I59" i="3"/>
  <c r="I66" i="3"/>
  <c r="I62" i="3"/>
  <c r="I65" i="3"/>
  <c r="I61" i="3"/>
  <c r="I71" i="3"/>
  <c r="I73" i="3"/>
  <c r="I68" i="3"/>
  <c r="I74" i="3"/>
  <c r="I69" i="3"/>
  <c r="I75" i="3"/>
  <c r="I70" i="3"/>
  <c r="I72" i="3"/>
  <c r="H56" i="3"/>
  <c r="H57" i="3"/>
  <c r="S13" i="13"/>
  <c r="S11" i="13"/>
  <c r="X10" i="13" l="1"/>
  <c r="X11" i="13"/>
  <c r="X13" i="13"/>
  <c r="X14" i="13"/>
  <c r="X17" i="13"/>
  <c r="X19" i="13"/>
  <c r="X20" i="13"/>
  <c r="S26" i="13"/>
  <c r="W23" i="13"/>
  <c r="Q23" i="13"/>
  <c r="V23" i="13" s="1"/>
  <c r="S19" i="13"/>
  <c r="S18" i="13"/>
  <c r="Q17" i="13"/>
  <c r="V17" i="13" s="1"/>
  <c r="S15" i="13"/>
  <c r="Q15" i="13"/>
  <c r="S6" i="13"/>
  <c r="W6" i="13" s="1"/>
  <c r="H7" i="9" l="1"/>
  <c r="H8" i="9"/>
  <c r="H9" i="9"/>
  <c r="H10" i="9"/>
  <c r="H11" i="9"/>
  <c r="H13" i="9"/>
  <c r="H14" i="9"/>
  <c r="H15" i="9"/>
  <c r="H16" i="9"/>
  <c r="H18" i="9"/>
  <c r="H19" i="9"/>
  <c r="H20" i="9"/>
  <c r="H21" i="9"/>
  <c r="H22" i="9"/>
  <c r="H23" i="9"/>
  <c r="H24" i="9"/>
  <c r="H6" i="9"/>
  <c r="H7" i="8"/>
  <c r="H8" i="8"/>
  <c r="H9" i="8"/>
  <c r="H10" i="8"/>
  <c r="H11" i="8"/>
  <c r="H13" i="8"/>
  <c r="H14" i="8"/>
  <c r="H15" i="8"/>
  <c r="H16" i="8"/>
  <c r="H18" i="8"/>
  <c r="H19" i="8"/>
  <c r="H20" i="8"/>
  <c r="H21" i="8"/>
  <c r="H22" i="8"/>
  <c r="H23" i="8"/>
  <c r="H24" i="8"/>
  <c r="H25" i="8"/>
  <c r="H6" i="8"/>
  <c r="H7" i="6"/>
  <c r="H8" i="6"/>
  <c r="H10" i="6"/>
  <c r="H11" i="6"/>
  <c r="H12" i="6"/>
  <c r="H13" i="6"/>
  <c r="H14" i="6"/>
  <c r="H15" i="6"/>
  <c r="H16" i="6"/>
  <c r="H17" i="6"/>
  <c r="H18" i="6"/>
  <c r="H19" i="6"/>
  <c r="H20" i="6"/>
  <c r="H21" i="6"/>
  <c r="H22" i="6"/>
  <c r="H23" i="6"/>
  <c r="H24" i="6"/>
  <c r="H25" i="6"/>
  <c r="H26" i="6"/>
  <c r="H28" i="6"/>
  <c r="H29" i="6"/>
  <c r="H30" i="6"/>
  <c r="H31" i="6"/>
  <c r="H33" i="6"/>
  <c r="H34" i="6"/>
  <c r="H35" i="6"/>
  <c r="H36" i="6"/>
  <c r="H38" i="6"/>
  <c r="H39" i="6"/>
  <c r="H40" i="6"/>
  <c r="H41" i="6"/>
  <c r="H42" i="6"/>
  <c r="H43" i="6"/>
  <c r="H44" i="6"/>
  <c r="H45" i="6"/>
  <c r="H47" i="6"/>
  <c r="H48" i="6"/>
  <c r="H49" i="6"/>
  <c r="H50" i="6"/>
  <c r="H51" i="6"/>
  <c r="H53" i="6"/>
  <c r="H54" i="6"/>
  <c r="H55" i="6"/>
  <c r="H56" i="6"/>
  <c r="H6" i="6"/>
  <c r="S7" i="11"/>
  <c r="S8" i="11"/>
  <c r="S9" i="11"/>
  <c r="S10" i="11"/>
  <c r="S11" i="11"/>
  <c r="S12" i="11"/>
  <c r="S13" i="11"/>
  <c r="S6" i="11"/>
  <c r="O6" i="11"/>
  <c r="O7" i="11"/>
  <c r="O8" i="11"/>
  <c r="O9" i="11"/>
  <c r="K6" i="11"/>
  <c r="G7" i="11"/>
  <c r="G8" i="11"/>
  <c r="G9" i="11"/>
  <c r="G10" i="11"/>
  <c r="G11" i="11"/>
  <c r="G6" i="11"/>
  <c r="K7" i="11"/>
  <c r="K8" i="11"/>
  <c r="K9" i="11"/>
  <c r="K10" i="11"/>
  <c r="H54" i="3" s="1"/>
  <c r="K11" i="11"/>
  <c r="H55" i="3" s="1"/>
  <c r="C6" i="11"/>
  <c r="C7" i="11"/>
  <c r="C8" i="11"/>
  <c r="C9" i="11"/>
  <c r="H33" i="3" l="1"/>
  <c r="H35" i="3"/>
  <c r="H51" i="3"/>
  <c r="H63" i="3"/>
  <c r="H60" i="3"/>
  <c r="H64" i="3"/>
  <c r="H50" i="3"/>
  <c r="H66" i="3"/>
  <c r="H48" i="3"/>
  <c r="H65" i="3"/>
  <c r="H47" i="3"/>
  <c r="H71" i="3"/>
  <c r="H62" i="3"/>
  <c r="H68" i="3"/>
  <c r="H70" i="3"/>
  <c r="H69" i="3"/>
  <c r="H44" i="3"/>
  <c r="H61" i="3"/>
  <c r="H59" i="3"/>
  <c r="H52" i="3"/>
  <c r="H53" i="3"/>
  <c r="H45" i="3"/>
  <c r="H41" i="3"/>
  <c r="H43" i="3"/>
  <c r="H46" i="3"/>
  <c r="H42" i="3"/>
  <c r="H39" i="3"/>
  <c r="H75" i="3"/>
  <c r="H38" i="3"/>
  <c r="H74" i="3"/>
  <c r="H36" i="3"/>
  <c r="H72" i="3"/>
  <c r="H37" i="3"/>
  <c r="H73" i="3"/>
  <c r="H34" i="3"/>
  <c r="H32" i="3"/>
  <c r="D71" i="21"/>
  <c r="D72" i="21"/>
  <c r="D73" i="21"/>
  <c r="D74" i="21"/>
  <c r="D75" i="21"/>
  <c r="D76" i="21"/>
  <c r="D77" i="21"/>
  <c r="D70" i="21"/>
  <c r="D67" i="21"/>
  <c r="D68" i="21"/>
  <c r="D69" i="21"/>
  <c r="D66" i="21"/>
  <c r="D61" i="21"/>
  <c r="D62" i="21"/>
  <c r="D63" i="21"/>
  <c r="D64" i="21"/>
  <c r="D65" i="21"/>
  <c r="D60" i="21"/>
  <c r="D55" i="21"/>
  <c r="D56" i="21"/>
  <c r="D57" i="21"/>
  <c r="D58" i="21"/>
  <c r="D59" i="21"/>
  <c r="D54" i="21"/>
  <c r="D51" i="21"/>
  <c r="D52" i="21"/>
  <c r="D53" i="21"/>
  <c r="O7" i="13" l="1"/>
  <c r="T26" i="13"/>
  <c r="R26" i="13"/>
  <c r="P26" i="13"/>
  <c r="T25" i="13"/>
  <c r="R25" i="13"/>
  <c r="P25" i="13"/>
  <c r="T24" i="13"/>
  <c r="R24" i="13"/>
  <c r="P24" i="13"/>
  <c r="T23" i="13"/>
  <c r="R23" i="13"/>
  <c r="P23" i="13"/>
  <c r="T22" i="13"/>
  <c r="R22" i="13"/>
  <c r="P22" i="13"/>
  <c r="T21" i="13"/>
  <c r="R21" i="13"/>
  <c r="P21" i="13"/>
  <c r="R20" i="13"/>
  <c r="P20" i="13"/>
  <c r="R19" i="13"/>
  <c r="P19" i="13"/>
  <c r="T18" i="13"/>
  <c r="R18" i="13"/>
  <c r="P18" i="13"/>
  <c r="R17" i="13"/>
  <c r="W17" i="13" s="1"/>
  <c r="P17" i="13"/>
  <c r="T16" i="13"/>
  <c r="R16" i="13"/>
  <c r="P16" i="13"/>
  <c r="T15" i="13"/>
  <c r="R15" i="13"/>
  <c r="P15" i="13"/>
  <c r="R14" i="13"/>
  <c r="P14" i="13"/>
  <c r="R13" i="13"/>
  <c r="P13" i="13"/>
  <c r="T12" i="13"/>
  <c r="R12" i="13"/>
  <c r="P12" i="13"/>
  <c r="R11" i="13"/>
  <c r="P11" i="13"/>
  <c r="R10" i="13"/>
  <c r="P10" i="13"/>
  <c r="T9" i="13"/>
  <c r="R9" i="13"/>
  <c r="P9" i="13"/>
  <c r="T8" i="13"/>
  <c r="R8" i="13"/>
  <c r="P8" i="13"/>
  <c r="T7" i="13"/>
  <c r="R7" i="13"/>
  <c r="P7" i="13"/>
  <c r="T6" i="13"/>
  <c r="R6" i="13"/>
  <c r="P6" i="13"/>
  <c r="T5" i="13"/>
  <c r="R5" i="13"/>
  <c r="P5" i="13"/>
  <c r="W7" i="13" l="1"/>
  <c r="X7" i="13"/>
  <c r="V7" i="13"/>
  <c r="C8" i="13"/>
  <c r="C6" i="13"/>
  <c r="C7" i="13"/>
  <c r="C5" i="13"/>
  <c r="C22" i="13"/>
  <c r="C23" i="13"/>
  <c r="C21" i="13"/>
  <c r="O5" i="13"/>
  <c r="V5" i="13" s="1"/>
  <c r="N6" i="13"/>
  <c r="O6" i="13" s="1"/>
  <c r="N8" i="13"/>
  <c r="O8" i="13" s="1"/>
  <c r="N9" i="13"/>
  <c r="O9" i="13" s="1"/>
  <c r="N10" i="13"/>
  <c r="O10" i="13" s="1"/>
  <c r="N11" i="13"/>
  <c r="O11" i="13" s="1"/>
  <c r="V11" i="13" s="1"/>
  <c r="N12" i="13"/>
  <c r="O12" i="13" s="1"/>
  <c r="N13" i="13"/>
  <c r="O13" i="13" s="1"/>
  <c r="N14" i="13"/>
  <c r="O14" i="13" s="1"/>
  <c r="N15" i="13"/>
  <c r="O15" i="13" s="1"/>
  <c r="N16" i="13"/>
  <c r="O16" i="13" s="1"/>
  <c r="N17" i="13"/>
  <c r="O17" i="13" s="1"/>
  <c r="N18" i="13"/>
  <c r="O18" i="13" s="1"/>
  <c r="N19" i="13"/>
  <c r="O19" i="13" s="1"/>
  <c r="N20" i="13"/>
  <c r="O20" i="13" s="1"/>
  <c r="N21" i="13"/>
  <c r="O21" i="13" s="1"/>
  <c r="N22" i="13"/>
  <c r="O22" i="13" s="1"/>
  <c r="N23" i="13"/>
  <c r="O23" i="13" s="1"/>
  <c r="X23" i="13" s="1"/>
  <c r="N24" i="13"/>
  <c r="O24" i="13" s="1"/>
  <c r="X24" i="13" s="1"/>
  <c r="N25" i="13"/>
  <c r="O25" i="13" s="1"/>
  <c r="N26" i="13"/>
  <c r="O26" i="13" s="1"/>
  <c r="C20" i="13"/>
  <c r="C19" i="13"/>
  <c r="C15" i="13"/>
  <c r="C16" i="13"/>
  <c r="C17" i="13"/>
  <c r="C18" i="13"/>
  <c r="C14" i="13"/>
  <c r="C25" i="13"/>
  <c r="C26" i="13"/>
  <c r="C24" i="13"/>
  <c r="C10" i="13"/>
  <c r="C11" i="13"/>
  <c r="C12" i="13"/>
  <c r="C13" i="13"/>
  <c r="C9" i="13"/>
  <c r="D76" i="4"/>
  <c r="V13" i="13" l="1"/>
  <c r="W13" i="13"/>
  <c r="V20" i="13"/>
  <c r="W20" i="13"/>
  <c r="X8" i="13"/>
  <c r="V8" i="13"/>
  <c r="W8" i="13"/>
  <c r="V19" i="13"/>
  <c r="W19" i="13"/>
  <c r="X15" i="13"/>
  <c r="W15" i="13"/>
  <c r="V15" i="13"/>
  <c r="V28" i="13" s="1"/>
  <c r="V6" i="13"/>
  <c r="X6" i="13"/>
  <c r="V16" i="13"/>
  <c r="W16" i="13"/>
  <c r="X16" i="13"/>
  <c r="X26" i="13"/>
  <c r="V26" i="13"/>
  <c r="W26" i="13"/>
  <c r="W22" i="13"/>
  <c r="X22" i="13"/>
  <c r="V22" i="13"/>
  <c r="X18" i="13"/>
  <c r="V18" i="13"/>
  <c r="W18" i="13"/>
  <c r="V14" i="13"/>
  <c r="V10" i="13"/>
  <c r="W10" i="13"/>
  <c r="X5" i="13"/>
  <c r="W5" i="13"/>
  <c r="V24" i="13"/>
  <c r="W24" i="13"/>
  <c r="V12" i="13"/>
  <c r="W12" i="13"/>
  <c r="X12" i="13"/>
  <c r="V25" i="13"/>
  <c r="W25" i="13"/>
  <c r="X25" i="13"/>
  <c r="V21" i="13"/>
  <c r="W21" i="13"/>
  <c r="X21" i="13"/>
  <c r="V9" i="13"/>
  <c r="W9" i="13"/>
  <c r="X9" i="13"/>
  <c r="W11" i="13" l="1"/>
  <c r="X28" i="13"/>
  <c r="W28" i="13" l="1"/>
  <c r="Y22" i="13" s="1"/>
  <c r="L71" i="3"/>
  <c r="X71" i="3" s="1"/>
  <c r="L69" i="3"/>
  <c r="X69" i="3" s="1"/>
  <c r="L68" i="3"/>
  <c r="X68" i="3" s="1"/>
  <c r="L70" i="3"/>
  <c r="X70" i="3" s="1"/>
  <c r="L59" i="3"/>
  <c r="X59" i="3" s="1"/>
  <c r="L61" i="3"/>
  <c r="X61" i="3" s="1"/>
  <c r="L63" i="3"/>
  <c r="X63" i="3" s="1"/>
  <c r="L65" i="3"/>
  <c r="X65" i="3" s="1"/>
  <c r="L60" i="3"/>
  <c r="X60" i="3" s="1"/>
  <c r="L62" i="3"/>
  <c r="X62" i="3" s="1"/>
  <c r="L64" i="3"/>
  <c r="X64" i="3" s="1"/>
  <c r="L66" i="3"/>
  <c r="X66" i="3" s="1"/>
  <c r="L52" i="3"/>
  <c r="X52" i="3" s="1"/>
  <c r="L56" i="3"/>
  <c r="X56" i="3" s="1"/>
  <c r="L53" i="3"/>
  <c r="X53" i="3" s="1"/>
  <c r="L57" i="3"/>
  <c r="X57" i="3" s="1"/>
  <c r="L50" i="3"/>
  <c r="X50" i="3" s="1"/>
  <c r="L54" i="3"/>
  <c r="X54" i="3" s="1"/>
  <c r="L51" i="3"/>
  <c r="X51" i="3" s="1"/>
  <c r="L55" i="3"/>
  <c r="X55" i="3" s="1"/>
  <c r="S53" i="3" l="1"/>
  <c r="S63" i="3"/>
  <c r="S55" i="3"/>
  <c r="S62" i="3"/>
  <c r="S61" i="3"/>
  <c r="S69" i="3"/>
  <c r="S51" i="3"/>
  <c r="S60" i="3"/>
  <c r="S59" i="3"/>
  <c r="S71" i="3"/>
  <c r="S50" i="3"/>
  <c r="S52" i="3"/>
  <c r="S68" i="3"/>
  <c r="S54" i="3"/>
  <c r="S57" i="3"/>
  <c r="S56" i="3"/>
  <c r="S66" i="3"/>
  <c r="S65" i="3"/>
  <c r="S70" i="3"/>
  <c r="S64" i="3"/>
  <c r="N50" i="3"/>
  <c r="N64" i="3"/>
  <c r="N51" i="3"/>
  <c r="N60" i="3"/>
  <c r="N59" i="3"/>
  <c r="N71" i="3"/>
  <c r="N53" i="3"/>
  <c r="N52" i="3"/>
  <c r="N68" i="3"/>
  <c r="N55" i="3"/>
  <c r="N62" i="3"/>
  <c r="N61" i="3"/>
  <c r="N69" i="3"/>
  <c r="N54" i="3"/>
  <c r="N57" i="3"/>
  <c r="N56" i="3"/>
  <c r="N66" i="3"/>
  <c r="N65" i="3"/>
  <c r="N70" i="3"/>
  <c r="N63" i="3"/>
  <c r="Y8" i="13"/>
  <c r="Y23" i="13"/>
  <c r="Y26" i="13"/>
  <c r="F183" i="21" s="1"/>
  <c r="Y25" i="13"/>
  <c r="L13" i="9" s="1"/>
  <c r="X13" i="9" s="1"/>
  <c r="Y6" i="13"/>
  <c r="L17" i="1" s="1"/>
  <c r="X17" i="1" s="1"/>
  <c r="AA5" i="13"/>
  <c r="Y24" i="13"/>
  <c r="L6" i="9" s="1"/>
  <c r="Y11" i="13"/>
  <c r="L30" i="3" s="1"/>
  <c r="X30" i="3" s="1"/>
  <c r="Y10" i="13"/>
  <c r="L16" i="3" s="1"/>
  <c r="X16" i="3" s="1"/>
  <c r="Y20" i="13"/>
  <c r="L54" i="6" s="1"/>
  <c r="X54" i="6" s="1"/>
  <c r="Y7" i="13"/>
  <c r="L21" i="1" s="1"/>
  <c r="X21" i="1" s="1"/>
  <c r="Z11" i="13"/>
  <c r="Z5" i="13"/>
  <c r="Y17" i="13"/>
  <c r="F130" i="21" s="1"/>
  <c r="Y16" i="13"/>
  <c r="Y19" i="13"/>
  <c r="Y21" i="13"/>
  <c r="L6" i="8" s="1"/>
  <c r="Y18" i="13"/>
  <c r="Y5" i="13"/>
  <c r="Y9" i="13"/>
  <c r="F28" i="21" s="1"/>
  <c r="Y12" i="13"/>
  <c r="F79" i="21" s="1"/>
  <c r="Y15" i="13"/>
  <c r="F114" i="21" s="1"/>
  <c r="Y13" i="13"/>
  <c r="F98" i="21" s="1"/>
  <c r="Y14" i="13"/>
  <c r="F106" i="21" s="1"/>
  <c r="Z7" i="13"/>
  <c r="Z9" i="13"/>
  <c r="Z13" i="13"/>
  <c r="Z15" i="13"/>
  <c r="Z17" i="13"/>
  <c r="L36" i="6" s="1"/>
  <c r="Z19" i="13"/>
  <c r="L51" i="6" s="1"/>
  <c r="Z21" i="13"/>
  <c r="Z23" i="13"/>
  <c r="Z25" i="13"/>
  <c r="AA7" i="13"/>
  <c r="AA9" i="13"/>
  <c r="AA11" i="13"/>
  <c r="AA13" i="13"/>
  <c r="AA15" i="13"/>
  <c r="AA17" i="13"/>
  <c r="AA19" i="13"/>
  <c r="AA21" i="13"/>
  <c r="AA23" i="13"/>
  <c r="AA25" i="13"/>
  <c r="AA6" i="13"/>
  <c r="AA10" i="13"/>
  <c r="AA14" i="13"/>
  <c r="AA18" i="13"/>
  <c r="AA24" i="13"/>
  <c r="Z6" i="13"/>
  <c r="Z8" i="13"/>
  <c r="Z10" i="13"/>
  <c r="Z12" i="13"/>
  <c r="Z14" i="13"/>
  <c r="Z16" i="13"/>
  <c r="Z18" i="13"/>
  <c r="Z20" i="13"/>
  <c r="Z22" i="13"/>
  <c r="Z24" i="13"/>
  <c r="Z26" i="13"/>
  <c r="L22" i="9" s="1"/>
  <c r="AA8" i="13"/>
  <c r="AA12" i="13"/>
  <c r="AA16" i="13"/>
  <c r="AA20" i="13"/>
  <c r="AA22" i="13"/>
  <c r="AA26" i="13"/>
  <c r="L12" i="6"/>
  <c r="X12" i="6" s="1"/>
  <c r="L98" i="3"/>
  <c r="X98" i="3" s="1"/>
  <c r="L13" i="8"/>
  <c r="X13" i="8" s="1"/>
  <c r="F158" i="21"/>
  <c r="L74" i="3"/>
  <c r="X74" i="3" s="1"/>
  <c r="L75" i="3"/>
  <c r="X75" i="3" s="1"/>
  <c r="L72" i="3"/>
  <c r="X72" i="3" s="1"/>
  <c r="L73" i="3"/>
  <c r="X73" i="3" s="1"/>
  <c r="X22" i="9" l="1"/>
  <c r="S22" i="9"/>
  <c r="N22" i="9"/>
  <c r="L104" i="3"/>
  <c r="L102" i="3"/>
  <c r="X51" i="6"/>
  <c r="N51" i="6"/>
  <c r="S51" i="6"/>
  <c r="X36" i="6"/>
  <c r="N36" i="6"/>
  <c r="S36" i="6"/>
  <c r="F169" i="21"/>
  <c r="L25" i="8"/>
  <c r="L21" i="8"/>
  <c r="L22" i="8"/>
  <c r="L24" i="8"/>
  <c r="L23" i="8"/>
  <c r="F163" i="21"/>
  <c r="L18" i="8"/>
  <c r="L19" i="8"/>
  <c r="L20" i="8"/>
  <c r="L34" i="6"/>
  <c r="L35" i="6"/>
  <c r="L42" i="6"/>
  <c r="L41" i="6"/>
  <c r="F73" i="21"/>
  <c r="L48" i="3"/>
  <c r="L44" i="3"/>
  <c r="L42" i="3"/>
  <c r="L43" i="3"/>
  <c r="L45" i="3"/>
  <c r="L41" i="3"/>
  <c r="L46" i="3"/>
  <c r="L47" i="3"/>
  <c r="S6" i="9"/>
  <c r="X6" i="9"/>
  <c r="S13" i="9"/>
  <c r="N13" i="9"/>
  <c r="N6" i="9"/>
  <c r="X6" i="8"/>
  <c r="S13" i="8"/>
  <c r="S6" i="8"/>
  <c r="N13" i="8"/>
  <c r="S12" i="6"/>
  <c r="S54" i="6"/>
  <c r="N12" i="6"/>
  <c r="N54" i="6"/>
  <c r="S75" i="3"/>
  <c r="S16" i="3"/>
  <c r="S30" i="3"/>
  <c r="S72" i="3"/>
  <c r="S74" i="3"/>
  <c r="S73" i="3"/>
  <c r="S98" i="3"/>
  <c r="F162" i="21"/>
  <c r="N72" i="3"/>
  <c r="N98" i="3"/>
  <c r="N73" i="3"/>
  <c r="N30" i="3"/>
  <c r="N75" i="3"/>
  <c r="N74" i="3"/>
  <c r="N16" i="3"/>
  <c r="S21" i="1"/>
  <c r="S17" i="1"/>
  <c r="F164" i="21"/>
  <c r="F181" i="21"/>
  <c r="L33" i="6"/>
  <c r="X33" i="6" s="1"/>
  <c r="F148" i="21"/>
  <c r="N6" i="8"/>
  <c r="N21" i="1"/>
  <c r="F18" i="21"/>
  <c r="F110" i="21"/>
  <c r="F182" i="21"/>
  <c r="L20" i="9"/>
  <c r="X20" i="9" s="1"/>
  <c r="N17" i="1"/>
  <c r="F15" i="21"/>
  <c r="F41" i="21"/>
  <c r="F49" i="21"/>
  <c r="F77" i="21"/>
  <c r="F69" i="21"/>
  <c r="F57" i="21"/>
  <c r="F48" i="21"/>
  <c r="L32" i="3"/>
  <c r="X32" i="3" s="1"/>
  <c r="F60" i="21"/>
  <c r="F54" i="21"/>
  <c r="F61" i="21"/>
  <c r="L7" i="6"/>
  <c r="X7" i="6" s="1"/>
  <c r="F27" i="21"/>
  <c r="L28" i="3"/>
  <c r="X28" i="3" s="1"/>
  <c r="L38" i="3"/>
  <c r="X38" i="3" s="1"/>
  <c r="F75" i="21"/>
  <c r="F64" i="21"/>
  <c r="L36" i="3"/>
  <c r="X36" i="3" s="1"/>
  <c r="F65" i="21"/>
  <c r="F72" i="21"/>
  <c r="F66" i="21"/>
  <c r="F37" i="21"/>
  <c r="L27" i="3"/>
  <c r="X27" i="3" s="1"/>
  <c r="F58" i="21"/>
  <c r="F53" i="21"/>
  <c r="F55" i="21"/>
  <c r="F67" i="21"/>
  <c r="F56" i="21"/>
  <c r="F71" i="21"/>
  <c r="F70" i="21"/>
  <c r="F74" i="21"/>
  <c r="F177" i="21"/>
  <c r="L18" i="9"/>
  <c r="X18" i="9" s="1"/>
  <c r="L19" i="9"/>
  <c r="X19" i="9" s="1"/>
  <c r="L6" i="6"/>
  <c r="L7" i="3"/>
  <c r="X7" i="3" s="1"/>
  <c r="F46" i="21"/>
  <c r="F63" i="21"/>
  <c r="F68" i="21"/>
  <c r="L39" i="3"/>
  <c r="X39" i="3" s="1"/>
  <c r="F50" i="21"/>
  <c r="F107" i="21"/>
  <c r="L6" i="3"/>
  <c r="F47" i="21"/>
  <c r="L29" i="3"/>
  <c r="X29" i="3" s="1"/>
  <c r="L34" i="3"/>
  <c r="X34" i="3" s="1"/>
  <c r="F52" i="21"/>
  <c r="F76" i="21"/>
  <c r="F62" i="21"/>
  <c r="L35" i="3"/>
  <c r="X35" i="3" s="1"/>
  <c r="F51" i="21"/>
  <c r="F59" i="21"/>
  <c r="L37" i="3"/>
  <c r="X37" i="3" s="1"/>
  <c r="L33" i="3"/>
  <c r="X33" i="3" s="1"/>
  <c r="L7" i="9"/>
  <c r="X7" i="9" s="1"/>
  <c r="F22" i="21"/>
  <c r="L26" i="1"/>
  <c r="X26" i="1" s="1"/>
  <c r="F99" i="21"/>
  <c r="F152" i="21"/>
  <c r="F171" i="21"/>
  <c r="L97" i="3"/>
  <c r="X97" i="3" s="1"/>
  <c r="L99" i="3"/>
  <c r="X99" i="3" s="1"/>
  <c r="F172" i="21"/>
  <c r="F97" i="21"/>
  <c r="F113" i="21"/>
  <c r="F112" i="21"/>
  <c r="L53" i="6"/>
  <c r="X53" i="6" s="1"/>
  <c r="L13" i="6"/>
  <c r="X13" i="6" s="1"/>
  <c r="F109" i="21"/>
  <c r="L15" i="6"/>
  <c r="X15" i="6" s="1"/>
  <c r="L10" i="6"/>
  <c r="X10" i="6" s="1"/>
  <c r="L19" i="3"/>
  <c r="X19" i="3" s="1"/>
  <c r="L15" i="3"/>
  <c r="X15" i="3" s="1"/>
  <c r="L20" i="3"/>
  <c r="X20" i="3" s="1"/>
  <c r="L17" i="3"/>
  <c r="X17" i="3" s="1"/>
  <c r="L18" i="3"/>
  <c r="X18" i="3" s="1"/>
  <c r="F35" i="21"/>
  <c r="F36" i="21"/>
  <c r="F40" i="21"/>
  <c r="L14" i="3"/>
  <c r="X14" i="3" s="1"/>
  <c r="L13" i="3"/>
  <c r="X13" i="3" s="1"/>
  <c r="F33" i="21"/>
  <c r="F38" i="21"/>
  <c r="F39" i="21"/>
  <c r="L21" i="3"/>
  <c r="X21" i="3" s="1"/>
  <c r="F34" i="21"/>
  <c r="F147" i="21"/>
  <c r="L14" i="6"/>
  <c r="X14" i="6" s="1"/>
  <c r="L11" i="6"/>
  <c r="X11" i="6" s="1"/>
  <c r="L16" i="6"/>
  <c r="X16" i="6" s="1"/>
  <c r="F116" i="21"/>
  <c r="F80" i="21"/>
  <c r="F111" i="21"/>
  <c r="F115" i="21"/>
  <c r="L17" i="6"/>
  <c r="X17" i="6" s="1"/>
  <c r="L77" i="3"/>
  <c r="X77" i="3" s="1"/>
  <c r="L43" i="6"/>
  <c r="X43" i="6" s="1"/>
  <c r="F138" i="21"/>
  <c r="L44" i="6"/>
  <c r="X44" i="6" s="1"/>
  <c r="F139" i="21"/>
  <c r="F137" i="21"/>
  <c r="F140" i="21"/>
  <c r="L18" i="6"/>
  <c r="X18" i="6" s="1"/>
  <c r="L20" i="6"/>
  <c r="X20" i="6" s="1"/>
  <c r="F117" i="21"/>
  <c r="F124" i="21"/>
  <c r="L23" i="6"/>
  <c r="X23" i="6" s="1"/>
  <c r="F122" i="21"/>
  <c r="L25" i="6"/>
  <c r="X25" i="6" s="1"/>
  <c r="L24" i="6"/>
  <c r="X24" i="6" s="1"/>
  <c r="F121" i="21"/>
  <c r="F119" i="21"/>
  <c r="L19" i="6"/>
  <c r="X19" i="6" s="1"/>
  <c r="L21" i="6"/>
  <c r="X21" i="6" s="1"/>
  <c r="F118" i="21"/>
  <c r="F123" i="21"/>
  <c r="L22" i="6"/>
  <c r="X22" i="6" s="1"/>
  <c r="F120" i="21"/>
  <c r="L79" i="3"/>
  <c r="X79" i="3" s="1"/>
  <c r="F78" i="21"/>
  <c r="L31" i="6"/>
  <c r="X31" i="6" s="1"/>
  <c r="F129" i="21"/>
  <c r="L9" i="9"/>
  <c r="X9" i="9" s="1"/>
  <c r="F174" i="21"/>
  <c r="L10" i="9"/>
  <c r="X10" i="9" s="1"/>
  <c r="L8" i="9"/>
  <c r="X8" i="9" s="1"/>
  <c r="F175" i="21"/>
  <c r="F173" i="21"/>
  <c r="L30" i="6"/>
  <c r="X30" i="6" s="1"/>
  <c r="L29" i="6"/>
  <c r="X29" i="6" s="1"/>
  <c r="F127" i="21"/>
  <c r="F128" i="21"/>
  <c r="L27" i="1"/>
  <c r="X27" i="1" s="1"/>
  <c r="L28" i="1"/>
  <c r="X28" i="1" s="1"/>
  <c r="F23" i="21"/>
  <c r="F24" i="21"/>
  <c r="F125" i="21"/>
  <c r="L26" i="6"/>
  <c r="X26" i="6" s="1"/>
  <c r="F21" i="21"/>
  <c r="L24" i="1"/>
  <c r="X24" i="1" s="1"/>
  <c r="L8" i="8"/>
  <c r="X8" i="8" s="1"/>
  <c r="F156" i="21"/>
  <c r="L7" i="8"/>
  <c r="X7" i="8" s="1"/>
  <c r="L9" i="8"/>
  <c r="X9" i="8" s="1"/>
  <c r="F153" i="21"/>
  <c r="L10" i="8"/>
  <c r="X10" i="8" s="1"/>
  <c r="F154" i="21"/>
  <c r="F155" i="21"/>
  <c r="F102" i="21"/>
  <c r="F103" i="21"/>
  <c r="L100" i="3"/>
  <c r="X100" i="3" s="1"/>
  <c r="F100" i="21"/>
  <c r="L103" i="3"/>
  <c r="X103" i="3" s="1"/>
  <c r="L101" i="3"/>
  <c r="X101" i="3" s="1"/>
  <c r="F101" i="21"/>
  <c r="F104" i="21"/>
  <c r="F142" i="21"/>
  <c r="L48" i="6"/>
  <c r="X48" i="6" s="1"/>
  <c r="F143" i="21"/>
  <c r="L47" i="6"/>
  <c r="X47" i="6" s="1"/>
  <c r="L78" i="3"/>
  <c r="X78" i="3" s="1"/>
  <c r="F187" i="21"/>
  <c r="L24" i="9"/>
  <c r="X24" i="9" s="1"/>
  <c r="L91" i="3"/>
  <c r="X91" i="3" s="1"/>
  <c r="F93" i="21"/>
  <c r="F96" i="21"/>
  <c r="L92" i="3"/>
  <c r="X92" i="3" s="1"/>
  <c r="L90" i="3"/>
  <c r="X90" i="3" s="1"/>
  <c r="F91" i="21"/>
  <c r="F92" i="21"/>
  <c r="L94" i="3"/>
  <c r="X94" i="3" s="1"/>
  <c r="L95" i="3"/>
  <c r="X95" i="3" s="1"/>
  <c r="F95" i="21"/>
  <c r="L93" i="3"/>
  <c r="X93" i="3" s="1"/>
  <c r="F94" i="21"/>
  <c r="L15" i="8"/>
  <c r="X15" i="8" s="1"/>
  <c r="F160" i="21"/>
  <c r="F159" i="21"/>
  <c r="L14" i="8"/>
  <c r="X14" i="8" s="1"/>
  <c r="F108" i="21"/>
  <c r="L8" i="6"/>
  <c r="X8" i="6" s="1"/>
  <c r="F16" i="21"/>
  <c r="L18" i="1"/>
  <c r="X18" i="1" s="1"/>
  <c r="F157" i="21"/>
  <c r="L11" i="8"/>
  <c r="X11" i="8" s="1"/>
  <c r="F13" i="21"/>
  <c r="L13" i="1"/>
  <c r="X13" i="1" s="1"/>
  <c r="F14" i="21"/>
  <c r="L15" i="1"/>
  <c r="X15" i="1" s="1"/>
  <c r="L14" i="1"/>
  <c r="X14" i="1" s="1"/>
  <c r="F12" i="21"/>
  <c r="F146" i="21"/>
  <c r="F144" i="21"/>
  <c r="F145" i="21"/>
  <c r="L50" i="6"/>
  <c r="X50" i="6" s="1"/>
  <c r="L49" i="6"/>
  <c r="X49" i="6" s="1"/>
  <c r="F29" i="21"/>
  <c r="L8" i="3"/>
  <c r="X8" i="3" s="1"/>
  <c r="F30" i="21"/>
  <c r="L9" i="3"/>
  <c r="X9" i="3" s="1"/>
  <c r="F5" i="21"/>
  <c r="F8" i="21"/>
  <c r="L7" i="1"/>
  <c r="X7" i="1" s="1"/>
  <c r="L9" i="1"/>
  <c r="X9" i="1" s="1"/>
  <c r="F6" i="21"/>
  <c r="L6" i="1"/>
  <c r="F7" i="21"/>
  <c r="L8" i="1"/>
  <c r="X8" i="1" s="1"/>
  <c r="F126" i="21"/>
  <c r="L28" i="6"/>
  <c r="X28" i="6" s="1"/>
  <c r="L21" i="9"/>
  <c r="X21" i="9" s="1"/>
  <c r="F184" i="21"/>
  <c r="F186" i="21"/>
  <c r="F185" i="21"/>
  <c r="L23" i="9"/>
  <c r="X23" i="9" s="1"/>
  <c r="L23" i="3"/>
  <c r="X23" i="3" s="1"/>
  <c r="L25" i="3"/>
  <c r="X25" i="3" s="1"/>
  <c r="F42" i="21"/>
  <c r="L24" i="3"/>
  <c r="X24" i="3" s="1"/>
  <c r="F44" i="21"/>
  <c r="L22" i="3"/>
  <c r="X22" i="3" s="1"/>
  <c r="F45" i="21"/>
  <c r="F43" i="21"/>
  <c r="L45" i="6"/>
  <c r="X45" i="6" s="1"/>
  <c r="F141" i="21"/>
  <c r="F180" i="21"/>
  <c r="L16" i="9"/>
  <c r="X16" i="9" s="1"/>
  <c r="L10" i="3"/>
  <c r="X10" i="3" s="1"/>
  <c r="F31" i="21"/>
  <c r="F32" i="21"/>
  <c r="L11" i="3"/>
  <c r="X11" i="3" s="1"/>
  <c r="F165" i="21"/>
  <c r="F167" i="21"/>
  <c r="F166" i="21"/>
  <c r="F168" i="21"/>
  <c r="L11" i="1"/>
  <c r="X11" i="1" s="1"/>
  <c r="F11" i="21"/>
  <c r="F9" i="21"/>
  <c r="L10" i="1"/>
  <c r="X10" i="1" s="1"/>
  <c r="F10" i="21"/>
  <c r="L12" i="1"/>
  <c r="X12" i="1" s="1"/>
  <c r="L16" i="8"/>
  <c r="X16" i="8" s="1"/>
  <c r="F161" i="21"/>
  <c r="L29" i="1"/>
  <c r="X29" i="1" s="1"/>
  <c r="F25" i="21"/>
  <c r="L55" i="6"/>
  <c r="X55" i="6" s="1"/>
  <c r="L56" i="6"/>
  <c r="X56" i="6" s="1"/>
  <c r="F150" i="21"/>
  <c r="F149" i="21"/>
  <c r="F88" i="21"/>
  <c r="L81" i="3"/>
  <c r="X81" i="3" s="1"/>
  <c r="F84" i="21"/>
  <c r="F90" i="21"/>
  <c r="L83" i="3"/>
  <c r="X83" i="3" s="1"/>
  <c r="F83" i="21"/>
  <c r="L80" i="3"/>
  <c r="X80" i="3" s="1"/>
  <c r="L89" i="3"/>
  <c r="X89" i="3" s="1"/>
  <c r="F87" i="21"/>
  <c r="F89" i="21"/>
  <c r="L87" i="3"/>
  <c r="X87" i="3" s="1"/>
  <c r="F86" i="21"/>
  <c r="L88" i="3"/>
  <c r="X88" i="3" s="1"/>
  <c r="L84" i="3"/>
  <c r="X84" i="3" s="1"/>
  <c r="L82" i="3"/>
  <c r="X82" i="3" s="1"/>
  <c r="F85" i="21"/>
  <c r="F82" i="21"/>
  <c r="F81" i="21"/>
  <c r="L85" i="3"/>
  <c r="X85" i="3" s="1"/>
  <c r="L86" i="3"/>
  <c r="X86" i="3" s="1"/>
  <c r="F176" i="21"/>
  <c r="L11" i="9"/>
  <c r="X11" i="9" s="1"/>
  <c r="L19" i="1"/>
  <c r="X19" i="1" s="1"/>
  <c r="F17" i="21"/>
  <c r="L14" i="9"/>
  <c r="X14" i="9" s="1"/>
  <c r="F179" i="21"/>
  <c r="F178" i="21"/>
  <c r="L15" i="9"/>
  <c r="X15" i="9" s="1"/>
  <c r="F131" i="21"/>
  <c r="F132" i="21"/>
  <c r="F133" i="21"/>
  <c r="F20" i="21"/>
  <c r="L23" i="1"/>
  <c r="X23" i="1" s="1"/>
  <c r="F19" i="21"/>
  <c r="L22" i="1"/>
  <c r="X22" i="1" s="1"/>
  <c r="L40" i="6"/>
  <c r="X40" i="6" s="1"/>
  <c r="F134" i="21"/>
  <c r="F136" i="21"/>
  <c r="L39" i="6"/>
  <c r="X39" i="6" s="1"/>
  <c r="F135" i="21"/>
  <c r="L38" i="6"/>
  <c r="X38" i="6" s="1"/>
  <c r="X104" i="3" l="1"/>
  <c r="N104" i="3"/>
  <c r="S104" i="3"/>
  <c r="X102" i="3"/>
  <c r="S102" i="3"/>
  <c r="N102" i="3"/>
  <c r="X35" i="6"/>
  <c r="S35" i="6"/>
  <c r="N35" i="6"/>
  <c r="X22" i="8"/>
  <c r="S22" i="8"/>
  <c r="N23" i="8"/>
  <c r="X34" i="6"/>
  <c r="S34" i="6"/>
  <c r="N34" i="6"/>
  <c r="X21" i="8"/>
  <c r="N22" i="8"/>
  <c r="S21" i="8"/>
  <c r="X41" i="6"/>
  <c r="S41" i="6"/>
  <c r="N41" i="6"/>
  <c r="X20" i="8"/>
  <c r="N21" i="8"/>
  <c r="S20" i="8"/>
  <c r="X23" i="8"/>
  <c r="S23" i="8"/>
  <c r="N24" i="8"/>
  <c r="X25" i="8"/>
  <c r="S25" i="8"/>
  <c r="X18" i="8"/>
  <c r="S18" i="8"/>
  <c r="N19" i="8"/>
  <c r="X42" i="6"/>
  <c r="S42" i="6"/>
  <c r="N42" i="6"/>
  <c r="X19" i="8"/>
  <c r="S19" i="8"/>
  <c r="N20" i="8"/>
  <c r="X24" i="8"/>
  <c r="S24" i="8"/>
  <c r="N25" i="8"/>
  <c r="X46" i="3"/>
  <c r="N46" i="3"/>
  <c r="S46" i="3"/>
  <c r="X42" i="3"/>
  <c r="S42" i="3"/>
  <c r="N42" i="3"/>
  <c r="X41" i="3"/>
  <c r="S41" i="3"/>
  <c r="N41" i="3"/>
  <c r="X44" i="3"/>
  <c r="N44" i="3"/>
  <c r="S44" i="3"/>
  <c r="X45" i="3"/>
  <c r="N45" i="3"/>
  <c r="S45" i="3"/>
  <c r="X48" i="3"/>
  <c r="N48" i="3"/>
  <c r="S48" i="3"/>
  <c r="X47" i="3"/>
  <c r="S47" i="3"/>
  <c r="N47" i="3"/>
  <c r="X43" i="3"/>
  <c r="N43" i="3"/>
  <c r="S43" i="3"/>
  <c r="S24" i="9"/>
  <c r="S20" i="9"/>
  <c r="S16" i="9"/>
  <c r="S23" i="9"/>
  <c r="S9" i="9"/>
  <c r="S8" i="9"/>
  <c r="S15" i="9"/>
  <c r="S10" i="9"/>
  <c r="S18" i="9"/>
  <c r="S11" i="9"/>
  <c r="S21" i="9"/>
  <c r="S7" i="9"/>
  <c r="K24" i="13"/>
  <c r="S14" i="9"/>
  <c r="S19" i="9"/>
  <c r="N11" i="9"/>
  <c r="N23" i="9"/>
  <c r="N21" i="9"/>
  <c r="N24" i="9"/>
  <c r="N9" i="9"/>
  <c r="N7" i="9"/>
  <c r="N20" i="9"/>
  <c r="N16" i="9"/>
  <c r="N14" i="9"/>
  <c r="N8" i="9"/>
  <c r="N19" i="9"/>
  <c r="N15" i="9"/>
  <c r="N10" i="9"/>
  <c r="N18" i="9"/>
  <c r="S15" i="8"/>
  <c r="S9" i="8"/>
  <c r="S14" i="8"/>
  <c r="S7" i="8"/>
  <c r="S16" i="8"/>
  <c r="S10" i="8"/>
  <c r="S11" i="8"/>
  <c r="S8" i="8"/>
  <c r="N16" i="8"/>
  <c r="N10" i="8"/>
  <c r="N11" i="8"/>
  <c r="N8" i="8"/>
  <c r="N15" i="8"/>
  <c r="N9" i="8"/>
  <c r="N14" i="8"/>
  <c r="N7" i="8"/>
  <c r="X6" i="6"/>
  <c r="S28" i="6"/>
  <c r="S26" i="6"/>
  <c r="S29" i="6"/>
  <c r="S21" i="6"/>
  <c r="S16" i="6"/>
  <c r="S50" i="6"/>
  <c r="S38" i="6"/>
  <c r="S8" i="6"/>
  <c r="S30" i="6"/>
  <c r="S31" i="6"/>
  <c r="S22" i="6"/>
  <c r="S19" i="6"/>
  <c r="S25" i="6"/>
  <c r="S43" i="6"/>
  <c r="S11" i="6"/>
  <c r="S56" i="6"/>
  <c r="S55" i="6"/>
  <c r="K20" i="13"/>
  <c r="S48" i="6"/>
  <c r="S24" i="6"/>
  <c r="S15" i="6"/>
  <c r="S40" i="6"/>
  <c r="S39" i="6"/>
  <c r="S45" i="6"/>
  <c r="S49" i="6"/>
  <c r="S47" i="6"/>
  <c r="K19" i="13"/>
  <c r="S20" i="6"/>
  <c r="S14" i="6"/>
  <c r="S13" i="6"/>
  <c r="S7" i="6"/>
  <c r="S33" i="6"/>
  <c r="S23" i="6"/>
  <c r="S18" i="6"/>
  <c r="S44" i="6"/>
  <c r="S17" i="6"/>
  <c r="S10" i="6"/>
  <c r="S53" i="6"/>
  <c r="S6" i="6"/>
  <c r="N45" i="6"/>
  <c r="N47" i="6"/>
  <c r="N13" i="6"/>
  <c r="N56" i="6"/>
  <c r="N50" i="6"/>
  <c r="N23" i="6"/>
  <c r="N18" i="6"/>
  <c r="N44" i="6"/>
  <c r="N17" i="6"/>
  <c r="N10" i="6"/>
  <c r="N53" i="6"/>
  <c r="N39" i="6"/>
  <c r="N49" i="6"/>
  <c r="N20" i="6"/>
  <c r="N14" i="6"/>
  <c r="N33" i="6"/>
  <c r="N38" i="6"/>
  <c r="N28" i="6"/>
  <c r="N48" i="6"/>
  <c r="N26" i="6"/>
  <c r="N29" i="6"/>
  <c r="N21" i="6"/>
  <c r="N24" i="6"/>
  <c r="N16" i="6"/>
  <c r="N15" i="6"/>
  <c r="N7" i="6"/>
  <c r="N55" i="6"/>
  <c r="N40" i="6"/>
  <c r="N8" i="6"/>
  <c r="N30" i="6"/>
  <c r="N31" i="6"/>
  <c r="N22" i="6"/>
  <c r="N19" i="6"/>
  <c r="N25" i="6"/>
  <c r="N43" i="6"/>
  <c r="N11" i="6"/>
  <c r="X6" i="3"/>
  <c r="S77" i="3"/>
  <c r="S14" i="3"/>
  <c r="S18" i="3"/>
  <c r="S19" i="3"/>
  <c r="S39" i="3"/>
  <c r="S7" i="3"/>
  <c r="S32" i="3"/>
  <c r="S86" i="3"/>
  <c r="S25" i="3"/>
  <c r="S78" i="3"/>
  <c r="S103" i="3"/>
  <c r="S21" i="3"/>
  <c r="S13" i="3"/>
  <c r="S15" i="3"/>
  <c r="S97" i="3"/>
  <c r="S37" i="3"/>
  <c r="S29" i="3"/>
  <c r="S85" i="3"/>
  <c r="S82" i="3"/>
  <c r="S87" i="3"/>
  <c r="S80" i="3"/>
  <c r="S10" i="3"/>
  <c r="S23" i="3"/>
  <c r="S9" i="3"/>
  <c r="S95" i="3"/>
  <c r="S90" i="3"/>
  <c r="S91" i="3"/>
  <c r="S84" i="3"/>
  <c r="S81" i="3"/>
  <c r="S11" i="3"/>
  <c r="S24" i="3"/>
  <c r="S94" i="3"/>
  <c r="S92" i="3"/>
  <c r="S100" i="3"/>
  <c r="S79" i="3"/>
  <c r="S17" i="3"/>
  <c r="S27" i="3"/>
  <c r="S38" i="3"/>
  <c r="S89" i="3"/>
  <c r="S22" i="3"/>
  <c r="S88" i="3"/>
  <c r="S83" i="3"/>
  <c r="S8" i="3"/>
  <c r="S93" i="3"/>
  <c r="S101" i="3"/>
  <c r="S20" i="3"/>
  <c r="S99" i="3"/>
  <c r="S33" i="3"/>
  <c r="S35" i="3"/>
  <c r="S34" i="3"/>
  <c r="S36" i="3"/>
  <c r="S28" i="3"/>
  <c r="N89" i="3"/>
  <c r="N13" i="3"/>
  <c r="N86" i="3"/>
  <c r="N22" i="3"/>
  <c r="N103" i="3"/>
  <c r="N37" i="3"/>
  <c r="N85" i="3"/>
  <c r="N82" i="3"/>
  <c r="N87" i="3"/>
  <c r="N80" i="3"/>
  <c r="N10" i="3"/>
  <c r="N23" i="3"/>
  <c r="N9" i="3"/>
  <c r="N95" i="3"/>
  <c r="N90" i="3"/>
  <c r="N91" i="3"/>
  <c r="N77" i="3"/>
  <c r="N14" i="3"/>
  <c r="N18" i="3"/>
  <c r="N19" i="3"/>
  <c r="N39" i="3"/>
  <c r="N7" i="3"/>
  <c r="N32" i="3"/>
  <c r="N25" i="3"/>
  <c r="N97" i="3"/>
  <c r="N29" i="3"/>
  <c r="N84" i="3"/>
  <c r="N81" i="3"/>
  <c r="N11" i="3"/>
  <c r="N24" i="3"/>
  <c r="N94" i="3"/>
  <c r="N92" i="3"/>
  <c r="N100" i="3"/>
  <c r="N79" i="3"/>
  <c r="N17" i="3"/>
  <c r="N27" i="3"/>
  <c r="N38" i="3"/>
  <c r="N78" i="3"/>
  <c r="N21" i="3"/>
  <c r="N15" i="3"/>
  <c r="N88" i="3"/>
  <c r="N83" i="3"/>
  <c r="N8" i="3"/>
  <c r="N93" i="3"/>
  <c r="N101" i="3"/>
  <c r="N20" i="3"/>
  <c r="N99" i="3"/>
  <c r="N33" i="3"/>
  <c r="N35" i="3"/>
  <c r="N34" i="3"/>
  <c r="N36" i="3"/>
  <c r="N28" i="3"/>
  <c r="S6" i="3"/>
  <c r="X6" i="1"/>
  <c r="S15" i="1"/>
  <c r="S22" i="1"/>
  <c r="S19" i="1"/>
  <c r="S24" i="1"/>
  <c r="S27" i="1"/>
  <c r="S26" i="1"/>
  <c r="S11" i="1"/>
  <c r="S9" i="1"/>
  <c r="S10" i="1"/>
  <c r="S7" i="1"/>
  <c r="S13" i="1"/>
  <c r="S18" i="1"/>
  <c r="K6" i="13"/>
  <c r="S12" i="1"/>
  <c r="S29" i="1"/>
  <c r="S8" i="1"/>
  <c r="S23" i="1"/>
  <c r="S14" i="1"/>
  <c r="S28" i="1"/>
  <c r="S6" i="1"/>
  <c r="N27" i="1"/>
  <c r="N19" i="1"/>
  <c r="N12" i="1"/>
  <c r="N15" i="1"/>
  <c r="N22" i="1"/>
  <c r="N29" i="1"/>
  <c r="N11" i="1"/>
  <c r="N8" i="1"/>
  <c r="N9" i="1"/>
  <c r="N24" i="1"/>
  <c r="N10" i="1"/>
  <c r="N7" i="1"/>
  <c r="N13" i="1"/>
  <c r="N18" i="1"/>
  <c r="N23" i="1"/>
  <c r="N14" i="1"/>
  <c r="N28" i="1"/>
  <c r="N6" i="6"/>
  <c r="N6" i="3"/>
  <c r="N26" i="1"/>
  <c r="N6" i="1"/>
  <c r="K22" i="13"/>
  <c r="K12" i="13"/>
  <c r="K25" i="13"/>
  <c r="K21" i="13"/>
  <c r="K7" i="13"/>
  <c r="K17" i="13" l="1"/>
  <c r="K13" i="13"/>
  <c r="E17" i="13"/>
  <c r="H17" i="13"/>
  <c r="K18" i="13"/>
  <c r="E23" i="13"/>
  <c r="H23" i="13"/>
  <c r="K23" i="13"/>
  <c r="L21" i="13" s="1"/>
  <c r="F47" i="13" s="1"/>
  <c r="H25" i="13"/>
  <c r="K11" i="13"/>
  <c r="H24" i="13"/>
  <c r="E24" i="13"/>
  <c r="E25" i="13"/>
  <c r="H21" i="13"/>
  <c r="H22" i="13"/>
  <c r="E22" i="13"/>
  <c r="E21" i="13"/>
  <c r="H18" i="13"/>
  <c r="H20" i="13"/>
  <c r="H19" i="13"/>
  <c r="E18" i="13"/>
  <c r="E19" i="13"/>
  <c r="E20" i="13"/>
  <c r="E13" i="13"/>
  <c r="H11" i="13"/>
  <c r="H12" i="13"/>
  <c r="H13" i="13"/>
  <c r="E12" i="13"/>
  <c r="E11" i="13"/>
  <c r="H6" i="13"/>
  <c r="H7" i="13"/>
  <c r="E7" i="13"/>
  <c r="E6" i="13"/>
  <c r="E14" i="13"/>
  <c r="H14" i="13"/>
  <c r="K9" i="13"/>
  <c r="E8" i="13"/>
  <c r="K14" i="13"/>
  <c r="E9" i="13"/>
  <c r="H9" i="13"/>
  <c r="H15" i="13"/>
  <c r="K8" i="13"/>
  <c r="H8" i="13"/>
  <c r="K16" i="13"/>
  <c r="H26" i="13"/>
  <c r="E15" i="13"/>
  <c r="E16" i="13"/>
  <c r="E10" i="13"/>
  <c r="K10" i="13"/>
  <c r="K26" i="13"/>
  <c r="L24" i="13" s="1"/>
  <c r="F48" i="13" s="1"/>
  <c r="H10" i="13"/>
  <c r="K15" i="13"/>
  <c r="H5" i="13"/>
  <c r="H16" i="13"/>
  <c r="E26" i="13"/>
  <c r="K5" i="13"/>
  <c r="E5" i="13"/>
  <c r="I24" i="13" l="1"/>
  <c r="E48" i="13" s="1"/>
  <c r="F28" i="13"/>
  <c r="F24" i="13"/>
  <c r="D48" i="13" s="1"/>
  <c r="I21" i="13"/>
  <c r="E47" i="13" s="1"/>
  <c r="F21" i="13"/>
  <c r="D47" i="13" s="1"/>
  <c r="I9" i="13"/>
  <c r="E45" i="13" s="1"/>
  <c r="L9" i="13"/>
  <c r="F45" i="13" s="1"/>
  <c r="I14" i="13"/>
  <c r="E46" i="13" s="1"/>
  <c r="F14" i="13"/>
  <c r="D46" i="13" s="1"/>
  <c r="F9" i="13"/>
  <c r="D45" i="13" s="1"/>
  <c r="L14" i="13"/>
  <c r="F46" i="13" s="1"/>
  <c r="F5" i="13"/>
  <c r="D44" i="13" s="1"/>
  <c r="I5" i="13"/>
  <c r="E44" i="13" s="1"/>
  <c r="I28" i="13"/>
  <c r="L5" i="13"/>
  <c r="F44" i="13" s="1"/>
  <c r="L28" i="13"/>
</calcChain>
</file>

<file path=xl/comments1.xml><?xml version="1.0" encoding="utf-8"?>
<comments xmlns="http://schemas.openxmlformats.org/spreadsheetml/2006/main">
  <authors>
    <author>LEGENDRE Solenn</author>
  </authors>
  <commentList>
    <comment ref="M4" authorId="0" shapeId="0">
      <text>
        <r>
          <rPr>
            <b/>
            <sz val="9"/>
            <color indexed="81"/>
            <rFont val="Tahoma"/>
            <family val="2"/>
          </rPr>
          <t>de 0 à 100%</t>
        </r>
        <r>
          <rPr>
            <sz val="9"/>
            <color indexed="81"/>
            <rFont val="Tahoma"/>
            <family val="2"/>
          </rPr>
          <t xml:space="preserve">
</t>
        </r>
      </text>
    </comment>
    <comment ref="P4" authorId="0" shapeId="0">
      <text>
        <r>
          <rPr>
            <b/>
            <sz val="9"/>
            <color indexed="81"/>
            <rFont val="Tahoma"/>
            <family val="2"/>
          </rPr>
          <t>de 0 à 100%</t>
        </r>
        <r>
          <rPr>
            <sz val="9"/>
            <color indexed="81"/>
            <rFont val="Tahoma"/>
            <family val="2"/>
          </rPr>
          <t xml:space="preserve">
</t>
        </r>
      </text>
    </comment>
    <comment ref="R4" authorId="0" shapeId="0">
      <text>
        <r>
          <rPr>
            <b/>
            <sz val="9"/>
            <color indexed="81"/>
            <rFont val="Tahoma"/>
            <family val="2"/>
          </rPr>
          <t>de 0 à 100%</t>
        </r>
        <r>
          <rPr>
            <sz val="9"/>
            <color indexed="81"/>
            <rFont val="Tahoma"/>
            <family val="2"/>
          </rPr>
          <t xml:space="preserve">
</t>
        </r>
      </text>
    </comment>
    <comment ref="U4" authorId="0" shapeId="0">
      <text>
        <r>
          <rPr>
            <b/>
            <sz val="9"/>
            <color indexed="81"/>
            <rFont val="Tahoma"/>
            <family val="2"/>
          </rPr>
          <t>de 0 à 100%</t>
        </r>
        <r>
          <rPr>
            <sz val="9"/>
            <color indexed="81"/>
            <rFont val="Tahoma"/>
            <family val="2"/>
          </rPr>
          <t xml:space="preserve">
</t>
        </r>
      </text>
    </comment>
    <comment ref="W4" authorId="0" shapeId="0">
      <text>
        <r>
          <rPr>
            <b/>
            <sz val="9"/>
            <color indexed="81"/>
            <rFont val="Tahoma"/>
            <family val="2"/>
          </rPr>
          <t>de 0 à 100%</t>
        </r>
        <r>
          <rPr>
            <sz val="9"/>
            <color indexed="81"/>
            <rFont val="Tahoma"/>
            <family val="2"/>
          </rPr>
          <t xml:space="preserve">
</t>
        </r>
      </text>
    </comment>
    <comment ref="Z4" authorId="0" shapeId="0">
      <text>
        <r>
          <rPr>
            <b/>
            <sz val="9"/>
            <color indexed="81"/>
            <rFont val="Tahoma"/>
            <family val="2"/>
          </rPr>
          <t>de 0 à 100%</t>
        </r>
        <r>
          <rPr>
            <sz val="9"/>
            <color indexed="81"/>
            <rFont val="Tahoma"/>
            <family val="2"/>
          </rPr>
          <t xml:space="preserve">
</t>
        </r>
      </text>
    </comment>
  </commentList>
</comments>
</file>

<file path=xl/comments2.xml><?xml version="1.0" encoding="utf-8"?>
<comments xmlns="http://schemas.openxmlformats.org/spreadsheetml/2006/main">
  <authors>
    <author>LEGENDRE Solenn</author>
    <author>Manon</author>
    <author>Claire</author>
  </authors>
  <commentList>
    <comment ref="M4" authorId="0" shapeId="0">
      <text>
        <r>
          <rPr>
            <b/>
            <sz val="9"/>
            <color indexed="81"/>
            <rFont val="Tahoma"/>
            <family val="2"/>
          </rPr>
          <t>de 0 à 100%</t>
        </r>
        <r>
          <rPr>
            <sz val="9"/>
            <color indexed="81"/>
            <rFont val="Tahoma"/>
            <family val="2"/>
          </rPr>
          <t xml:space="preserve">
</t>
        </r>
      </text>
    </comment>
    <comment ref="P4" authorId="0" shapeId="0">
      <text>
        <r>
          <rPr>
            <b/>
            <sz val="9"/>
            <color indexed="81"/>
            <rFont val="Tahoma"/>
            <family val="2"/>
          </rPr>
          <t>de 0 à 100%</t>
        </r>
        <r>
          <rPr>
            <sz val="9"/>
            <color indexed="81"/>
            <rFont val="Tahoma"/>
            <family val="2"/>
          </rPr>
          <t xml:space="preserve">
</t>
        </r>
      </text>
    </comment>
    <comment ref="R4" authorId="0" shapeId="0">
      <text>
        <r>
          <rPr>
            <b/>
            <sz val="9"/>
            <color indexed="81"/>
            <rFont val="Tahoma"/>
            <family val="2"/>
          </rPr>
          <t>de 0 à 100%</t>
        </r>
        <r>
          <rPr>
            <sz val="9"/>
            <color indexed="81"/>
            <rFont val="Tahoma"/>
            <family val="2"/>
          </rPr>
          <t xml:space="preserve">
</t>
        </r>
      </text>
    </comment>
    <comment ref="U4" authorId="0" shapeId="0">
      <text>
        <r>
          <rPr>
            <b/>
            <sz val="9"/>
            <color indexed="81"/>
            <rFont val="Tahoma"/>
            <family val="2"/>
          </rPr>
          <t>de 0 à 100%</t>
        </r>
        <r>
          <rPr>
            <sz val="9"/>
            <color indexed="81"/>
            <rFont val="Tahoma"/>
            <family val="2"/>
          </rPr>
          <t xml:space="preserve">
</t>
        </r>
      </text>
    </comment>
    <comment ref="W4" authorId="0" shapeId="0">
      <text>
        <r>
          <rPr>
            <b/>
            <sz val="9"/>
            <color indexed="81"/>
            <rFont val="Tahoma"/>
            <family val="2"/>
          </rPr>
          <t>de 0 à 100%</t>
        </r>
        <r>
          <rPr>
            <sz val="9"/>
            <color indexed="81"/>
            <rFont val="Tahoma"/>
            <family val="2"/>
          </rPr>
          <t xml:space="preserve">
</t>
        </r>
      </text>
    </comment>
    <comment ref="Z4" authorId="0" shapeId="0">
      <text>
        <r>
          <rPr>
            <b/>
            <sz val="9"/>
            <color indexed="81"/>
            <rFont val="Tahoma"/>
            <family val="2"/>
          </rPr>
          <t>de 0 à 100%</t>
        </r>
        <r>
          <rPr>
            <sz val="9"/>
            <color indexed="81"/>
            <rFont val="Tahoma"/>
            <family val="2"/>
          </rPr>
          <t xml:space="preserve">
</t>
        </r>
      </text>
    </comment>
    <comment ref="G6" authorId="1" shapeId="0">
      <text>
        <r>
          <rPr>
            <sz val="9"/>
            <color indexed="81"/>
            <rFont val="Tahoma"/>
            <family val="2"/>
          </rPr>
          <t>fondement : article L541-15-1  code de l'environnement + décret 2015-662</t>
        </r>
      </text>
    </comment>
    <comment ref="G15" authorId="1" shapeId="0">
      <text>
        <r>
          <rPr>
            <sz val="9"/>
            <color indexed="81"/>
            <rFont val="Tahoma"/>
            <family val="2"/>
          </rPr>
          <t>Article 80 LTECV</t>
        </r>
      </text>
    </comment>
    <comment ref="G18" authorId="1" shapeId="0">
      <text>
        <r>
          <rPr>
            <sz val="9"/>
            <color indexed="81"/>
            <rFont val="Tahoma"/>
            <family val="2"/>
          </rPr>
          <t>article L224-8 du code de l'environnement</t>
        </r>
      </text>
    </comment>
    <comment ref="G19" authorId="2" shapeId="0">
      <text>
        <r>
          <rPr>
            <sz val="9"/>
            <color indexed="81"/>
            <rFont val="Tahoma"/>
            <family val="2"/>
          </rPr>
          <t>Article L541-21-1 du Code de l'environnement : A compter du 1er janvier 2012, les personnes qui produisent ou détiennent des quantités importantes de déchets composés majoritairement de biodéchets sont tenues de mettre en place un tri à la source et une valorisation biologique ou, lorsqu'elle n'est pas effectuée par un tiers, une collecte sélective de ces déchets pour en permettre la valorisation de la matière de manière à limiter les émissions de gaz à effet de serre et à favoriser le retour au sol. A compter du 1er janvier 2025, cette obligation est étendue à tous les professionnels produisant ou détenant des déchets composés majoritairement de biodéchets</t>
        </r>
      </text>
    </comment>
    <comment ref="G21" authorId="0" shapeId="0">
      <text>
        <r>
          <rPr>
            <sz val="9"/>
            <color indexed="81"/>
            <rFont val="Tahoma"/>
            <family val="2"/>
          </rPr>
          <t xml:space="preserve">
Section 3 article 5 - Décret n° 2016-288 du 10 mars 2016</t>
        </r>
      </text>
    </comment>
    <comment ref="G29" authorId="1" shapeId="0">
      <text>
        <r>
          <rPr>
            <sz val="9"/>
            <color indexed="81"/>
            <rFont val="Tahoma"/>
            <family val="2"/>
          </rPr>
          <t xml:space="preserve">Article L541-1 Code de l'environnement
</t>
        </r>
      </text>
    </comment>
  </commentList>
</comments>
</file>

<file path=xl/comments3.xml><?xml version="1.0" encoding="utf-8"?>
<comments xmlns="http://schemas.openxmlformats.org/spreadsheetml/2006/main">
  <authors>
    <author>Manon</author>
  </authors>
  <commentList>
    <comment ref="O7" authorId="0" shapeId="0">
      <text>
        <r>
          <rPr>
            <b/>
            <sz val="9"/>
            <color indexed="81"/>
            <rFont val="Tahoma"/>
            <family val="2"/>
          </rPr>
          <t>Manon:</t>
        </r>
        <r>
          <rPr>
            <sz val="9"/>
            <color indexed="81"/>
            <rFont val="Tahoma"/>
            <family val="2"/>
          </rPr>
          <t xml:space="preserve">
@ADEME : avez-vous des chiffres selon les filières REP ?</t>
        </r>
      </text>
    </comment>
  </commentList>
</comments>
</file>

<file path=xl/comments4.xml><?xml version="1.0" encoding="utf-8"?>
<comments xmlns="http://schemas.openxmlformats.org/spreadsheetml/2006/main">
  <authors>
    <author>LEGENDRE Solenn</author>
    <author>Manon</author>
    <author>ICAREE</author>
  </authors>
  <commentList>
    <comment ref="M4" authorId="0" shapeId="0">
      <text>
        <r>
          <rPr>
            <b/>
            <sz val="9"/>
            <color indexed="81"/>
            <rFont val="Tahoma"/>
            <family val="2"/>
          </rPr>
          <t>de 0 à 100%</t>
        </r>
        <r>
          <rPr>
            <sz val="9"/>
            <color indexed="81"/>
            <rFont val="Tahoma"/>
            <family val="2"/>
          </rPr>
          <t xml:space="preserve">
</t>
        </r>
      </text>
    </comment>
    <comment ref="P4" authorId="0" shapeId="0">
      <text>
        <r>
          <rPr>
            <b/>
            <sz val="9"/>
            <color indexed="81"/>
            <rFont val="Tahoma"/>
            <family val="2"/>
          </rPr>
          <t>de 0 à 100%</t>
        </r>
        <r>
          <rPr>
            <sz val="9"/>
            <color indexed="81"/>
            <rFont val="Tahoma"/>
            <family val="2"/>
          </rPr>
          <t xml:space="preserve">
</t>
        </r>
      </text>
    </comment>
    <comment ref="R4" authorId="0" shapeId="0">
      <text>
        <r>
          <rPr>
            <b/>
            <sz val="9"/>
            <color indexed="81"/>
            <rFont val="Tahoma"/>
            <family val="2"/>
          </rPr>
          <t>de 0 à 100%</t>
        </r>
        <r>
          <rPr>
            <sz val="9"/>
            <color indexed="81"/>
            <rFont val="Tahoma"/>
            <family val="2"/>
          </rPr>
          <t xml:space="preserve">
</t>
        </r>
      </text>
    </comment>
    <comment ref="U4" authorId="0" shapeId="0">
      <text>
        <r>
          <rPr>
            <b/>
            <sz val="9"/>
            <color indexed="81"/>
            <rFont val="Tahoma"/>
            <family val="2"/>
          </rPr>
          <t>de 0 à 100%</t>
        </r>
        <r>
          <rPr>
            <sz val="9"/>
            <color indexed="81"/>
            <rFont val="Tahoma"/>
            <family val="2"/>
          </rPr>
          <t xml:space="preserve">
</t>
        </r>
      </text>
    </comment>
    <comment ref="W4" authorId="0" shapeId="0">
      <text>
        <r>
          <rPr>
            <b/>
            <sz val="9"/>
            <color indexed="81"/>
            <rFont val="Tahoma"/>
            <family val="2"/>
          </rPr>
          <t>de 0 à 100%</t>
        </r>
        <r>
          <rPr>
            <sz val="9"/>
            <color indexed="81"/>
            <rFont val="Tahoma"/>
            <family val="2"/>
          </rPr>
          <t xml:space="preserve">
</t>
        </r>
      </text>
    </comment>
    <comment ref="Z4" authorId="0" shapeId="0">
      <text>
        <r>
          <rPr>
            <b/>
            <sz val="9"/>
            <color indexed="81"/>
            <rFont val="Tahoma"/>
            <family val="2"/>
          </rPr>
          <t>de 0 à 100%</t>
        </r>
        <r>
          <rPr>
            <sz val="9"/>
            <color indexed="81"/>
            <rFont val="Tahoma"/>
            <family val="2"/>
          </rPr>
          <t xml:space="preserve">
</t>
        </r>
      </text>
    </comment>
    <comment ref="I6" authorId="1" shapeId="0">
      <text>
        <r>
          <rPr>
            <sz val="9"/>
            <color indexed="81"/>
            <rFont val="Tahoma"/>
            <family val="2"/>
          </rPr>
          <t>Obligations réglementaires concernant les déchets de chantiers de routes / matériaux de construction-entretien des routes (mais sans sanction apparente en cas de manquement)
article 79 LTECV : Au plus tard en 2020, l'Etat et les collectivités territoriales s'assurent qu'au moins 70 % des matières et déchets produits sur les chantiers de construction ou d'entretien routiers dont ils sont maîtres d'ouvrage sont réemployés ou orientés vers le recyclage ou les autres formes de valorisation matière, au sens de la directive 2008/98/CE du Parlement européen et du Conseil, du 19 novembre 2008, relative aux déchets et abrogeant certaines directives.
Tout appel d'offres que l'Etat ou les collectivités territoriales publient pour la construction ou l'entretien routier intègre une exigence de priorité à l'utilisation des matériaux issus du réemploi, de la réutilisation ou du recyclage de déchets.
Chaque collectivité justifie chaque année 
à partir de 2017:
a) Qu'au moins 50 % en masse de l'ensemble des matériaux utilisés pendant l'année dans leurs chantiers de construction routiers sont issus du réemploi, de la réutilisation ou du recyclage de déchets ;
b) Et que, pour les matériaux utilisés pendant l'année dans les chantiers de construction et d'entretien routiers parmi ces matériaux, au moins 10 % en masse des matériaux utilisés dans les couches de surface et au moins 20 % en masse des matériaux utilisés dans les couches d'assise sont issus du réemploi, de la réutilisation ou du recyclage de déchets ;
à partir de 2020 :
a) Qu'au moins 60 % en masse de l'ensemble des matériaux utilisés pendant l'année dans leurs chantiers de construction routiers sont issus du réemploi, de la réutilisation ou du recyclage de déchets ;
b) Et que, pour les matériaux utilisés pendant l'année dans les chantiers de construction et d'entretien routiers parmi ces matériaux, au moins 20 % en masse des matériaux utilisés dans les couches de surface et au moins 30 % en masse des matériaux utilisés dans les couches d'assise sont issus du réemploi, de la réutilisation ou du recyclage de déchets.</t>
        </r>
      </text>
    </comment>
    <comment ref="G13" authorId="1" shapeId="0">
      <text>
        <r>
          <rPr>
            <sz val="9"/>
            <color indexed="81"/>
            <rFont val="Tahoma"/>
            <family val="2"/>
          </rPr>
          <t>Article 79 LTECV</t>
        </r>
      </text>
    </comment>
    <comment ref="G15" authorId="2" shapeId="0">
      <text>
        <r>
          <rPr>
            <sz val="9"/>
            <color indexed="81"/>
            <rFont val="Tahoma"/>
            <family val="2"/>
          </rPr>
          <t>article 13 de la loi ESS, montant fixé par le décret n°2015-90 du 28 janvier 2015</t>
        </r>
      </text>
    </comment>
    <comment ref="G16" authorId="1" shapeId="0">
      <text>
        <r>
          <rPr>
            <sz val="9"/>
            <color indexed="81"/>
            <rFont val="Tahoma"/>
            <family val="2"/>
          </rPr>
          <t>Article 79 LTECV</t>
        </r>
      </text>
    </comment>
  </commentList>
</comments>
</file>

<file path=xl/comments5.xml><?xml version="1.0" encoding="utf-8"?>
<comments xmlns="http://schemas.openxmlformats.org/spreadsheetml/2006/main">
  <authors>
    <author>LEGENDRE Solenn</author>
    <author>Manon</author>
  </authors>
  <commentList>
    <comment ref="M4" authorId="0" shapeId="0">
      <text>
        <r>
          <rPr>
            <b/>
            <sz val="9"/>
            <color indexed="81"/>
            <rFont val="Tahoma"/>
            <family val="2"/>
          </rPr>
          <t>de 0 à 100%</t>
        </r>
        <r>
          <rPr>
            <sz val="9"/>
            <color indexed="81"/>
            <rFont val="Tahoma"/>
            <family val="2"/>
          </rPr>
          <t xml:space="preserve">
</t>
        </r>
      </text>
    </comment>
    <comment ref="P4" authorId="0" shapeId="0">
      <text>
        <r>
          <rPr>
            <b/>
            <sz val="9"/>
            <color indexed="81"/>
            <rFont val="Tahoma"/>
            <family val="2"/>
          </rPr>
          <t>de 0 à 100%</t>
        </r>
        <r>
          <rPr>
            <sz val="9"/>
            <color indexed="81"/>
            <rFont val="Tahoma"/>
            <family val="2"/>
          </rPr>
          <t xml:space="preserve">
</t>
        </r>
      </text>
    </comment>
    <comment ref="R4" authorId="0" shapeId="0">
      <text>
        <r>
          <rPr>
            <b/>
            <sz val="9"/>
            <color indexed="81"/>
            <rFont val="Tahoma"/>
            <family val="2"/>
          </rPr>
          <t>de 0 à 100%</t>
        </r>
        <r>
          <rPr>
            <sz val="9"/>
            <color indexed="81"/>
            <rFont val="Tahoma"/>
            <family val="2"/>
          </rPr>
          <t xml:space="preserve">
</t>
        </r>
      </text>
    </comment>
    <comment ref="U4" authorId="0" shapeId="0">
      <text>
        <r>
          <rPr>
            <b/>
            <sz val="9"/>
            <color indexed="81"/>
            <rFont val="Tahoma"/>
            <family val="2"/>
          </rPr>
          <t>de 0 à 100%</t>
        </r>
        <r>
          <rPr>
            <sz val="9"/>
            <color indexed="81"/>
            <rFont val="Tahoma"/>
            <family val="2"/>
          </rPr>
          <t xml:space="preserve">
</t>
        </r>
      </text>
    </comment>
    <comment ref="W4" authorId="0" shapeId="0">
      <text>
        <r>
          <rPr>
            <b/>
            <sz val="9"/>
            <color indexed="81"/>
            <rFont val="Tahoma"/>
            <family val="2"/>
          </rPr>
          <t>de 0 à 100%</t>
        </r>
        <r>
          <rPr>
            <sz val="9"/>
            <color indexed="81"/>
            <rFont val="Tahoma"/>
            <family val="2"/>
          </rPr>
          <t xml:space="preserve">
</t>
        </r>
      </text>
    </comment>
    <comment ref="Z4" authorId="0" shapeId="0">
      <text>
        <r>
          <rPr>
            <b/>
            <sz val="9"/>
            <color indexed="81"/>
            <rFont val="Tahoma"/>
            <family val="2"/>
          </rPr>
          <t>de 0 à 100%</t>
        </r>
        <r>
          <rPr>
            <sz val="9"/>
            <color indexed="81"/>
            <rFont val="Tahoma"/>
            <family val="2"/>
          </rPr>
          <t xml:space="preserve">
</t>
        </r>
      </text>
    </comment>
    <comment ref="G13" authorId="1" shapeId="0">
      <text>
        <r>
          <rPr>
            <sz val="9"/>
            <color indexed="81"/>
            <rFont val="Tahoma"/>
            <family val="2"/>
          </rPr>
          <t>Article 541-1 code de l'environnement : Les collectivités territoriales progressent vers la généralisation d'une tarification incitative en matière de déchets, avec pour objectif que quinze millions d'habitants soient couverts par cette dernière en 2020 et vingt-cinq millions en 2025 ;
Obligation reprise dans le PRPGD.</t>
        </r>
      </text>
    </comment>
  </commentList>
</comments>
</file>

<file path=xl/comments6.xml><?xml version="1.0" encoding="utf-8"?>
<comments xmlns="http://schemas.openxmlformats.org/spreadsheetml/2006/main">
  <authors>
    <author>LEGENDRE Solenn</author>
  </authors>
  <commentList>
    <comment ref="M4" authorId="0" shapeId="0">
      <text>
        <r>
          <rPr>
            <b/>
            <sz val="9"/>
            <color indexed="81"/>
            <rFont val="Tahoma"/>
            <family val="2"/>
          </rPr>
          <t>de 0 à 100%</t>
        </r>
        <r>
          <rPr>
            <sz val="9"/>
            <color indexed="81"/>
            <rFont val="Tahoma"/>
            <family val="2"/>
          </rPr>
          <t xml:space="preserve">
</t>
        </r>
      </text>
    </comment>
    <comment ref="P4" authorId="0" shapeId="0">
      <text>
        <r>
          <rPr>
            <b/>
            <sz val="9"/>
            <color indexed="81"/>
            <rFont val="Tahoma"/>
            <family val="2"/>
          </rPr>
          <t>de 0 à 100%</t>
        </r>
        <r>
          <rPr>
            <sz val="9"/>
            <color indexed="81"/>
            <rFont val="Tahoma"/>
            <family val="2"/>
          </rPr>
          <t xml:space="preserve">
</t>
        </r>
      </text>
    </comment>
    <comment ref="R4" authorId="0" shapeId="0">
      <text>
        <r>
          <rPr>
            <b/>
            <sz val="9"/>
            <color indexed="81"/>
            <rFont val="Tahoma"/>
            <family val="2"/>
          </rPr>
          <t>de 0 à 100%</t>
        </r>
        <r>
          <rPr>
            <sz val="9"/>
            <color indexed="81"/>
            <rFont val="Tahoma"/>
            <family val="2"/>
          </rPr>
          <t xml:space="preserve">
</t>
        </r>
      </text>
    </comment>
    <comment ref="U4" authorId="0" shapeId="0">
      <text>
        <r>
          <rPr>
            <b/>
            <sz val="9"/>
            <color indexed="81"/>
            <rFont val="Tahoma"/>
            <family val="2"/>
          </rPr>
          <t>de 0 à 100%</t>
        </r>
        <r>
          <rPr>
            <sz val="9"/>
            <color indexed="81"/>
            <rFont val="Tahoma"/>
            <family val="2"/>
          </rPr>
          <t xml:space="preserve">
</t>
        </r>
      </text>
    </comment>
    <comment ref="W4" authorId="0" shapeId="0">
      <text>
        <r>
          <rPr>
            <b/>
            <sz val="9"/>
            <color indexed="81"/>
            <rFont val="Tahoma"/>
            <family val="2"/>
          </rPr>
          <t>de 0 à 100%</t>
        </r>
        <r>
          <rPr>
            <sz val="9"/>
            <color indexed="81"/>
            <rFont val="Tahoma"/>
            <family val="2"/>
          </rPr>
          <t xml:space="preserve">
</t>
        </r>
      </text>
    </comment>
    <comment ref="Z4" authorId="0" shapeId="0">
      <text>
        <r>
          <rPr>
            <b/>
            <sz val="9"/>
            <color indexed="81"/>
            <rFont val="Tahoma"/>
            <family val="2"/>
          </rPr>
          <t>de 0 à 100%</t>
        </r>
        <r>
          <rPr>
            <sz val="9"/>
            <color indexed="81"/>
            <rFont val="Tahoma"/>
            <family val="2"/>
          </rPr>
          <t xml:space="preserve">
</t>
        </r>
      </text>
    </comment>
  </commentList>
</comments>
</file>

<file path=xl/sharedStrings.xml><?xml version="1.0" encoding="utf-8"?>
<sst xmlns="http://schemas.openxmlformats.org/spreadsheetml/2006/main" count="2014" uniqueCount="960">
  <si>
    <t>Limite de diffusion</t>
  </si>
  <si>
    <t>Objet de l'outil</t>
  </si>
  <si>
    <t>Process pour évaluer la performance en économie circulaire de la collectivité</t>
  </si>
  <si>
    <t>Base : relève de l'organisation, la prise de décision interne, le management.</t>
  </si>
  <si>
    <t>Mise en œuvre : détaille ce qui est réalisé concrètement</t>
  </si>
  <si>
    <t>Effets : ce type d'action est présent dans le cas où la mesure de l'action mise en œuvre est possible par des chiffres, dans le cas d'une rétroaction (pour améliorer des actions précédemment mises en œuvre) ou de communications réalisées à propos des actions précédemment mises en oeuvre</t>
  </si>
  <si>
    <t>Présentation des onglets</t>
  </si>
  <si>
    <t>Type d'onglet</t>
  </si>
  <si>
    <t>Description</t>
  </si>
  <si>
    <t>Onglets</t>
  </si>
  <si>
    <t>Description des onglets</t>
  </si>
  <si>
    <t>Onglets saumon</t>
  </si>
  <si>
    <t>Axe 1</t>
  </si>
  <si>
    <t>Définition d'une stratégie globale de l'économie circulaire et inscription dans le territoire</t>
  </si>
  <si>
    <t>Axe 2</t>
  </si>
  <si>
    <t>Développement des services de réduction, collecte et valorisation des déchets</t>
  </si>
  <si>
    <t>Axe 3</t>
  </si>
  <si>
    <t>Déploiement des autres piliers de l'économie circulaire dans les territoires</t>
  </si>
  <si>
    <t>Axe 4</t>
  </si>
  <si>
    <t>Outils financiers du changement de comportement</t>
  </si>
  <si>
    <t>Axe 5</t>
  </si>
  <si>
    <t>Coopération et engagement</t>
  </si>
  <si>
    <t>Onglets jaune</t>
  </si>
  <si>
    <t>Onglets dédiés au remplissage de l'axe 3</t>
  </si>
  <si>
    <t>Trame filière</t>
  </si>
  <si>
    <t>Cet onglet permet de diagnostiquer et détailler la ou les filières à enjeux du territoire. Il donne des pistes pour la notation de l'axe 3 et en aucun cas n'est soumis à une notation.</t>
  </si>
  <si>
    <t>Onglet bleu</t>
  </si>
  <si>
    <t>Exemple de remplissage de l'onglet "Trame filière", pour la filière Bâtiment</t>
  </si>
  <si>
    <t>Onglet vert</t>
  </si>
  <si>
    <t>Alimentation</t>
  </si>
  <si>
    <t>Exemple de remplissage de l'onglet "Trame filière", pour la filière Alimentation</t>
  </si>
  <si>
    <t>Onglet gris</t>
  </si>
  <si>
    <t>Note finale</t>
  </si>
  <si>
    <t>Détaille la structure du référentiel (liste des orientations) et les notes associées</t>
  </si>
  <si>
    <t>Onglet rouge</t>
  </si>
  <si>
    <t>Règlementation</t>
  </si>
  <si>
    <t>Caractéristiques de la collectivité</t>
  </si>
  <si>
    <t>Surface du territoire géré</t>
  </si>
  <si>
    <t>choisir à l'aide du menu déroulant</t>
  </si>
  <si>
    <t>Nombre de collectivités infra</t>
  </si>
  <si>
    <t>#</t>
  </si>
  <si>
    <t>Nombre d'habitants</t>
  </si>
  <si>
    <t>Unité de compostage</t>
  </si>
  <si>
    <t>(hors déchetteries)</t>
  </si>
  <si>
    <t>Incinérateur</t>
  </si>
  <si>
    <t>Stockage</t>
  </si>
  <si>
    <t>Unité de tri et/ou de démantèlement</t>
  </si>
  <si>
    <t>Evènements principaux du SPGD du territoire (ex : extension consigne de tri, passage en TI, …)</t>
  </si>
  <si>
    <t>CUD</t>
  </si>
  <si>
    <t>km</t>
  </si>
  <si>
    <t>lyon</t>
  </si>
  <si>
    <t>lorient</t>
  </si>
  <si>
    <t>mauge</t>
  </si>
  <si>
    <t>puisayes</t>
  </si>
  <si>
    <t>SBA</t>
  </si>
  <si>
    <t>SMICVAL</t>
  </si>
  <si>
    <t>symevad</t>
  </si>
  <si>
    <t>km (Aller Retour)</t>
  </si>
  <si>
    <t>Axe 1 : DEFINITION D'UNE STRATEGIE GLOBALE DE LA POLITIQUE ECONOMIE CIRCULAIRE ET INSCRIPTION DANS LE TERRITOIRE</t>
  </si>
  <si>
    <t>Orientation</t>
  </si>
  <si>
    <t xml:space="preserve">Description </t>
  </si>
  <si>
    <t>Réduction de potentiel</t>
  </si>
  <si>
    <t>Actions à mettre en place</t>
  </si>
  <si>
    <t>Indicateurs clés</t>
  </si>
  <si>
    <t>1.1</t>
  </si>
  <si>
    <t>Définir une stratégie globale de la politique économie circulaire, inscrire le projet dans le territoire et assurer un portage politique fort</t>
  </si>
  <si>
    <t>Une stratégie globale de la politique économie circulaire et l'inscription dans le territoire nécessitent :
. Un portage politique fort (implication des élus, au plus haut niveau) et d'un pilotage projet solide;
. La réalisation d'un diagnostic de l'économie circulaire du territoire pour évaluer les enjeux ;
. La formalisation d'une stratégie d'économie circulaire avec des objectifs et des cibles clairement exprimés ;
. Une articulation avec les plans régionaux d'actions en faveur de l'économie circulaire (issus des PRPGD), ainsi que la Feuille de route nationale de l'économie circulaire.</t>
  </si>
  <si>
    <t>Base</t>
  </si>
  <si>
    <t>/</t>
  </si>
  <si>
    <t>La  collectivité justifie d'un portage politique de l'économie circulaire fort : un ou plusieurs élu(s) est (sont) moteur(s) sur le sujet.</t>
  </si>
  <si>
    <t>Un élu spécifique porte la stratégie EC</t>
  </si>
  <si>
    <t>La collectivité justifie d'un pilotage technique interne de la politique économie circulaire solide</t>
  </si>
  <si>
    <t xml:space="preserve">Un diagnostic de l'économie circulaire sur le territoire de la collectivité est programmé. </t>
  </si>
  <si>
    <t>Mise en œuvre</t>
  </si>
  <si>
    <t>Le document cadre de la stratégie économie circulaire a été validé par la collectivité.</t>
  </si>
  <si>
    <t>Effet</t>
  </si>
  <si>
    <t>Le diagnostic a été mis à jour en fonction des résultats observés.</t>
  </si>
  <si>
    <t>La collectivité valorise et partage ses bonnes pratiques avec d'autres collectivités pour trouver de nouveaux potentiels d'actions.</t>
  </si>
  <si>
    <t>La collectivité communique son diagnostic à la Région notamment, afin de faciliter par la suite l'élaboration des PRPGD.</t>
  </si>
  <si>
    <t>Interventions dans des colloques, journées thématiques sur le sujet, …</t>
  </si>
  <si>
    <t>1.2</t>
  </si>
  <si>
    <t>Une démarche transversale au sein de la collectivité implique une participation de tous les services dans un objectif commun (développer l'économie circulaire). Cette démarche transversale d'EC s'articule avec les autres politiques territoriales en place.</t>
  </si>
  <si>
    <t>Les syndicats établissent des partenariats avec les communautés de communes, communautés d'agglomération, communautés urbaines, métropoles pour leur démarche d’économie circulaire. Ils participent aux agendas 21.</t>
  </si>
  <si>
    <t>Pour les syndicats</t>
  </si>
  <si>
    <t>Mettre en place un comité de pilotage interne, groupe de travail permanent transversal</t>
  </si>
  <si>
    <t>Une démarche de partage interne des enjeux de l'EC est engagée, se formalisant par la formation des agents de la collectivité à l'économie circulaire, en fonction des besoins de la collectivité et en fonction des connaissances des agents et de leur rôle dans la collectivité.</t>
  </si>
  <si>
    <t>1.3</t>
  </si>
  <si>
    <t>Suivre, évaluer et améliorer le déploiement de la stratégie de la politique économie circulaire</t>
  </si>
  <si>
    <r>
      <t xml:space="preserve">La collectivité a mis en place des </t>
    </r>
    <r>
      <rPr>
        <b/>
        <sz val="10"/>
        <color theme="1"/>
        <rFont val="Calibri"/>
        <family val="2"/>
        <scheme val="minor"/>
      </rPr>
      <t>outils de suivi de la stratégie économie circulaire</t>
    </r>
    <r>
      <rPr>
        <sz val="10"/>
        <color theme="1"/>
        <rFont val="Calibri"/>
        <family val="2"/>
        <scheme val="minor"/>
      </rPr>
      <t xml:space="preserve">. Il ne s'agit pas seulement d'indicateurs de suivi des déchets, mais plus largement d'indicateurs de suivi </t>
    </r>
    <r>
      <rPr>
        <i/>
        <sz val="10"/>
        <color theme="1"/>
        <rFont val="Calibri"/>
        <family val="2"/>
        <scheme val="minor"/>
      </rPr>
      <t>de toutes les actions d'EC prévues dans la stratégie</t>
    </r>
    <r>
      <rPr>
        <sz val="10"/>
        <color theme="1"/>
        <rFont val="Calibri"/>
        <family val="2"/>
        <scheme val="minor"/>
      </rPr>
      <t xml:space="preserve"> définie dans l'orientation 1.2, adaptés aux compétences des collectivités. Par exemple :
- Nombre de ressourceries
- Nombre d'habitants couverts par un dispositif de tarification incitative
- Part (ou nombre) de producteurs couverts par la redevance spéciale
- Quantité de biogaz produit
- ...</t>
    </r>
  </si>
  <si>
    <t>Les outils de suivi mis en place permettent de reporter les progrès effectivement réalisés. Ces progrès sont mesurables d'une année sur l'autre.</t>
  </si>
  <si>
    <t>La collectivité adapte sa stratégie EC et son plan d'actions en fonction du bilan issu du tableau de suivi. La feuille de route est réactualisée régulièrement, sur la base d'éléments objectivés par le bilan</t>
  </si>
  <si>
    <r>
      <t>La collectivité analyse les</t>
    </r>
    <r>
      <rPr>
        <b/>
        <sz val="10"/>
        <rFont val="Calibri"/>
        <family val="2"/>
        <scheme val="minor"/>
      </rPr>
      <t xml:space="preserve"> impacts de sa politique EC</t>
    </r>
    <r>
      <rPr>
        <sz val="10"/>
        <rFont val="Calibri"/>
        <family val="2"/>
        <scheme val="minor"/>
      </rPr>
      <t xml:space="preserve"> sur différentes thématiques  en lien avec l'observatoire régional (s'il est créé) et met en place une organisation optimisée pour faire remonter les données, les actualiser et les communiquer. Elle considère ainsi par exemple :
- Les quantités de déchets valorisées et évitées ;
- Les ressources épargnées grâce à la stratégie d'EC mise en place ;
- Les émissions de GES évitées, les économies d'énergie réalisées ;
- Nombre d'établissements/activités contribuant à l'économie circulaire sur le territoire ;
- Nombre d'emplois créés et potentiel de création d'emplois, % d'emplois dédiés à l'économie circulaire ;
- Suivi de la localisation des dépenses de la collectivité / du syndicat ;
- Pouvoir d'achat des ménages.</t>
    </r>
  </si>
  <si>
    <t>2.1</t>
  </si>
  <si>
    <t xml:space="preserve">Disposer d'un programme de prévention des déchets </t>
  </si>
  <si>
    <t>La collectivité a démarré un programme local de prévention des déchets ménagers et assimilés, indiquant les objectifs de réduction des quantités de déchets et les mesures mises en place pour les atteindre.</t>
  </si>
  <si>
    <t>Si la collectivité n'a pas de PLPDMA mais un plan d'actions relatif à la prévention, questionner ce dernier sur la base de sujets tels que la gouvernance, le diagnostic, la cartographie des acteurs…</t>
  </si>
  <si>
    <t>Dans le cas d'un PLPDMA, les documents sont mis en ligne sur la plateforme SINOE</t>
  </si>
  <si>
    <t>Les actions prévues dans le PLPDMA ou dans le programme de prévention des déchets prévu par la collectivité sont appliquées et mise en œuvre.</t>
  </si>
  <si>
    <t>Nombre d'actions / typologie / an déployées.</t>
  </si>
  <si>
    <t>La collectivité fait vivre une gouvernance participative avec la commission consultative d'élaboration et de suivi.</t>
  </si>
  <si>
    <t>Moyenne nationale production d'OMR : 261 kg/hab.an
Objectif national d réduction des DMA : -10% entre 2010 et 2020</t>
  </si>
  <si>
    <t>En fonction de l'atteinte des objectifs initialement prévus, un nouveau programme de prévention est reconduit, comprenant :
* Une mise à jour de son diagnostic territorial.
* Une mise à jour de la cartographie des acteurs mobilisables.
* Un nouveau  programme d'actions et des nouveaux objectifs de baisse quantifiés sur un prévisionnel d'un minimum de 3 ans.</t>
  </si>
  <si>
    <t>2.2</t>
  </si>
  <si>
    <t>Améliorer l'efficience du système de collecte</t>
  </si>
  <si>
    <t>L'optimisation d'un système de collecte se caractérise par :
* Des points de collectes correspondant à des producteurs ménagers et assimilés à collecter.
* Des dotations de contenants associés à ces points qui selon le flux (OMR, CS) peuvent être des des sacs, des bacs, collectés en PàP, en PAV.
* Des fréquences de collecte associées à la typologie, du territoire (rural, semi-rural, semi-urbain, urbain), de l'habitat (vertical, pavillonnaire, commerces,...).
* Une sectorisation des tournées équilibrées en charge (remplissage des camions) et en temps de travail (journée de 7h).
* Une flotte de véhicules de collecte adaptée aux territoires à collecter (hypercentres, zones commerciales, zones pavillonnaires, zones rurales), entretenue et renouvelée régulièrement. 
* Le respect et l'application des recommandations del R437 de la CARSAT pour la sécurité du personnel et des usagers (collecte mono latéral, suppression des marches-arrières, suppression des sacs pour les OMr,...).
* L'aménagement et l'intégration des points de collecte qui le requierent (PAV fixes, enterrés ou aériens, déchèterie) sur le plan de leur conditions d'accès, de leur signalétique, de leur propreté,...).
* La place particulière du réseau de déchèteries et des recycleries pour le déploiement des filières REP et autres flux , des services autour du réemploi et de la réutilisation.
* La proposition de nouveaux modes de collecte permettant de valoriser, réemployer, réutiliser de nouveaux flux de déchets</t>
  </si>
  <si>
    <t>La collectivité dispose d'une analyse fine des flux de déchets collectés (OMr / CS) lui permettant d'adapter les contenants et les fréquences de tournées pour garantir un système de collecte efficient sur la base d'une sectorisation équilibrée en charge et en temps de travail.</t>
  </si>
  <si>
    <t>Pour contribuer à l'efficacité du tri, la collectivité veille à ce que la collecte séparée des déchets d'emballages et de papiers graphiques soit organisée selon des modalités harmonisées sur l'ensemble du territoire national.</t>
  </si>
  <si>
    <t xml:space="preserve">La collectivité travaille à l'harmonisation de son réseau de déchèteries en assurant les différents services de collecte de type REP, dangereux, non dangereux et inertes et propose un service de réemploi / réutilisation en lien avec des acteurs spécialisés (recycleries, acteurs de l'ESS,...). </t>
  </si>
  <si>
    <t>La collectivité travaille également à l'optimisation de la performance énergétique des véhicules de collecte : elle a mis en place une politique de motorisation alternative et un plan d'action associé pour atteindre une réduction des GES et des émissions de particules sur le long terme.
Dans le cas où la collectivité gère un parc de plus de 20 véhicules (poids total autorisé en charge &gt; 3,5 tonnes), elle acquière ou utilise, lors du renouvellement du parc, des véhicules à faibles émissions (électriques ou motorisation alternative) dans la proportion minimale de 50% du renouvellement.</t>
  </si>
  <si>
    <t>La collectivité a étudié la pertinence de la mise en place de la collecte séparée de biodéchets ou de dispositifs de gestion de proximité des biodéchets de manière à contribuer au tri à la source des biodéchets, y compris pour les professionnels.</t>
  </si>
  <si>
    <t>La collectivité optimise son système de collecte pour prendre en compte les spécificités de son territoire (ex : variations saisonnières, évènementiels culturels et sportifs, marchés…).</t>
  </si>
  <si>
    <t>La collectivité facture les professionnels qui utilisent le SPPGD</t>
  </si>
  <si>
    <t>La collectivité a atteint ses objectifs en termes de véhicules de collecte en motorisation alternative (électrique, hybride, GNV, …)</t>
  </si>
  <si>
    <t>Part de la flotte de véhicule de collecte en motorisation alternative</t>
  </si>
  <si>
    <t>1 nouveau service déployé en lien avec la valorisation de la matière / cycle de 3 ans</t>
  </si>
  <si>
    <t>2.3</t>
  </si>
  <si>
    <t>Valoriser et hiérarchiser le traitement de la matière (dont matière organique)</t>
  </si>
  <si>
    <t>La valorisation hiérarchisée de la matière se caractérise par des étapes de tri/massification, transport et recyclage. Elle concerne en particulier :
* La valorisation de la matière d'anciennes décharges.
* La valorisation des mâchefers d'incinération des OMr.
* La valorisation des recyclables ménagers et assimilés :
  . Les recyclables collectés en PàP / PAV (fibreux, non fibreux) et triés en centre de tri.
  . Les recyclables collectés en PàP / PAV (fibreux, non fibreux) et directement valorisés en industrie.
  . Les recyclables collectés en déchèterie (métaux, bois, papiers et cartons, gravats…) et triés en centre de tri.
  . Les recyclables collectés en déchèterie (métaux, bois, papiers et cartons, gravats…) et directement valorisés en industrie.
* La valorisation des biodéchets ménagers et assimilés :
  . Les déchets verts triés à la source (compost et digestat).
  . Les biodéchets alimentaires triés à la source (compost et digestat).
  . Les mélanges de biodéchets triés mécaniquement (compost et digestat).</t>
  </si>
  <si>
    <t>La hiérarchie des modes de traitement a été étudiée (réutilisation, recyclage et autres formes de valorisation de la matière, valorisation énergétique, élimination : incinération sans valorisation énergétique et stockage en décharge). La collectivité essaye de diversifier ses modes de traitement pour aller vers de la valorisation matière si cela est possible, puis vers une valorisation énergétique le cas échéant.</t>
  </si>
  <si>
    <t>- évaluation fine de la quantité de biogaz émis dans les centres d’enfouissement techniques
- une analyse sur l'augmentation de l'efficacité énergétique de l'UIOM est disponible. Si la collectivité a délégué sa compétence, elle incite et encourage la collectivité compétente à effectuer cette analyse. 
- étude de potentiel méthanisation sur les biodéchets, intégrant des synergies avec les gros producteurs de biodéchets et les agriculteurs pour une vision globale des gisements
- étude des possibilités d'injection du biogaz valorisé dans le réseau ou dans des véhicules (budget ou moyens humains mobilisés)
- étude des possibilités de production et de valorisation de bio-carburants à partir des biodéchets locaux (budget ou moyens humains mobilisés)</t>
  </si>
  <si>
    <t>La collectivité définit des solutions techniques de compostage de proximité ou de collecte séparée des biodéchets et un rythme de déploiement adaptés à son territoire.</t>
  </si>
  <si>
    <t>Tri à la source des biodéchets uniquement pour les territoires ruraux et semi-urbains</t>
  </si>
  <si>
    <t>2.4</t>
  </si>
  <si>
    <t xml:space="preserve">Réduire les impacts environnementaux et sociaux de la gestion des déchets </t>
  </si>
  <si>
    <t>La collectivité applique ou fait appliquer les prescriptions de la CARSAT et la DREAL pour les règles de sécurité attendues dans les déchèteries soit la mise en place :
* de solutions de garde-corps au droit des bennes pour les déchèteries avec quais.
* de locaux ou compartiments abrités des intempéries, fixes ou modulaires pour le stockage des DDS, et des  objets faisant l'objet d'une collecte "préservante".
* des dispositifs de sécurité incendie selon le classement des sites telle que le prévoit la réglementation ICPE.
* des dispositifs de sécurité pour lutter contre le vandalisme.</t>
  </si>
  <si>
    <t>Si la configuration territoriale le permet, la collectivité étudie les possibilités de réduction de la quantité de déchets transportés par route : augmentation de la part de déchets transportés par la voie d'eau et/ou la voie ferrée.</t>
  </si>
  <si>
    <t>Selon la configuration territoriale (distance entre les zones de collecte et les sites de traitement), la collectivité étudie la pertinence de la mise en place d'un centre de transfert.</t>
  </si>
  <si>
    <t>La collectivité introduit les recommandations de la CNAM/CARSAT  (R437) dans ses marchés de prestations et les applique, ou les fait appliquer, pour l'organisation des collectes soit l'application en régie ou via ses prestataires de :
* La collecte monolatérale sur toutes les voies en double sens.</t>
  </si>
  <si>
    <t>* L'interdiction des marche-arrières (compensées par des aires de retournement, des points de regroupement fixes ou dynamiques, des mini-bennes de collecte permettant une manœuvre de retournement,...).</t>
  </si>
  <si>
    <t>* L'interdiction du levage des bacs à la main (usage du peigne ou des bras DIN de la BOM,...)</t>
  </si>
  <si>
    <t>* La suppression du fini-parti.</t>
  </si>
  <si>
    <t>Si cela est pertinent et si la configuration territoriale le permet, la collectivité a mis en place un ou plusieurs quais de transfert des déchets qui permettent de massifier le transport par camion de type semi-remorque</t>
  </si>
  <si>
    <t>Si cela est pertinent et si la configuration territoriale le permet, la collectivité a mis en place un report modal de transport des déchets via la voie d'eau et/ou la voie ferrée.</t>
  </si>
  <si>
    <t>Une communication adéquate et spécifique est réalisée de manière simple et régulière pour montrer l'impact réel des sites sur l'environnement : par exemple, publication systématique des résultats des contrôles et mesures, règlementaires ou non ; mise en place d’un système de surveillance, d’un suivi d’indicateurs sur la qualité de l’environnement autour du centre ; information claire et pédagogique, directement et/ou via les supports d’information de la collectivité, etc.</t>
  </si>
  <si>
    <t>Propositions de visites commentées / journées portes ouvertes du centre de traitement des déchets</t>
  </si>
  <si>
    <t>La collectivité effectue le suivi :
- du taux d'atteinte des objectifs fixés dans la LTECV ;</t>
  </si>
  <si>
    <t>- du taux de Troubles Musculo-Squelettiques chez les ripeurs ;</t>
  </si>
  <si>
    <t>- des risques sanitaires chez les salariés des UTOM mais aussi chez les riverains (études d'exposition à certains polluants)</t>
  </si>
  <si>
    <t>- des taux d'accidents de la collecte et du traitement des déchets</t>
  </si>
  <si>
    <t>Des études environnementales sont réalisées (contamination potentielle de l'environnement)</t>
  </si>
  <si>
    <t>2.5</t>
  </si>
  <si>
    <t>Créer du lien avec les autres déchets des acteurs économiques pour identifier des dynamiques sur les autres types de déchets (BTP, DAE…)</t>
  </si>
  <si>
    <t>La collectivité mobilise ses compétences de développement économique et d'aménageur, elle initie, soutient et accompagne :
* La mise en place de service de collecte mutualisée auprès des entreprises sur les zones d'activités de son territoire, en lien avec les chambres consulaires et les autres institutionnels de son territoire.
* La mise en place de circuits courts de matériaux utiles aux petites entreprises de son territoire.
* La mise en place de CODEC et propose dans son plan de déploiement des actions dédiées ou en synergie avec les entreprises de son tissu économique local.</t>
  </si>
  <si>
    <t>La collectivité initie une démarche de gestion collective des déchets des entreprises.</t>
  </si>
  <si>
    <t>La collectivité étudie la mise en place de la RS.</t>
  </si>
  <si>
    <t>La collectivité a mis en place un service de collecte des déchets auprès des producteurs non ménagers assimilés tel que le permet le code général des collectivités territoriales et a en conséquence instauré une redevance spéciale ou une redevance générale.</t>
  </si>
  <si>
    <t>si pas de compétence développement économique</t>
  </si>
  <si>
    <t>La collectivité propose un service de conseil aux entreprises (via des chargés de communication ou des ambassadeurs) en vue de les conseiller pour mieux trier et maîtriser leur facture de RS.</t>
  </si>
  <si>
    <r>
      <t xml:space="preserve">Orientation 2.3 - </t>
    </r>
    <r>
      <rPr>
        <b/>
        <i/>
        <sz val="14"/>
        <color theme="0"/>
        <rFont val="Calibri"/>
        <family val="2"/>
        <scheme val="minor"/>
      </rPr>
      <t>Valoriser et hiérarchiser le traitement de la matière (dont matière organique)</t>
    </r>
  </si>
  <si>
    <t xml:space="preserve">Indicateurs </t>
  </si>
  <si>
    <t>Indicateurs</t>
  </si>
  <si>
    <t>Du biogaz est produit et trouve des débouchés (si possible de proximité)</t>
  </si>
  <si>
    <t>Les flux résiduels d'OMr et assimilés de la collectivité sont traités dans une installation de stockage sur son territoire répondant aux dernières normes en vigueur.</t>
  </si>
  <si>
    <t>Les centres de tri s'assurent de la qualité des déchets reçus et communiquent sur ce sujet.</t>
  </si>
  <si>
    <t>La collectivité veille à promouvoir les bonnes pratiques de compostage auprès des particuliers</t>
  </si>
  <si>
    <t>Les centres de démantèlement ont une performance qui inclut une part significative de réutilisation.</t>
  </si>
  <si>
    <t>Pour les plateformes de compostage centralisé, les meilleures pratiques sont réalisées et formalisées (courbes de suivi des températures et de l'humidité, aération...)</t>
  </si>
  <si>
    <t>L'UIOM fait l'objet d'une valorisation de l'énergie produite. L'UIOM est reliée à un réseau de chaleur qui dispose de débouchés de proximité.</t>
  </si>
  <si>
    <t>Suivi du % réel de valorisation énergétique / déchets entrants (indicateur Cit'ergie)</t>
  </si>
  <si>
    <t xml:space="preserve">Le captage du biogaz est optimisé : diminution des émissions en phase d'exploitation avant mise en œuvre des dispositifs définitifs de captage (captage précoce, optimisation de la durée d'exploitation des alvéoles ou casiers) et limitation des fuites aux parois du réseau, notamment par l'optimisation des dimensionnements des réseaux. </t>
  </si>
  <si>
    <t>Les taux de refus de tri diminuent par rapport à l'année précédente</t>
  </si>
  <si>
    <t xml:space="preserve">L'impact des déplacements engendrés pour l'acheminement des déchets verts est pris en compte (choix de la localisation...) </t>
  </si>
  <si>
    <t xml:space="preserve">Les mâchefers sont envoyés en plateforme de maturation. </t>
  </si>
  <si>
    <t>Le taux de captage du biogaz et la valorisation du biogaz capté sont en amélioration par rapport aux années précédentes.</t>
  </si>
  <si>
    <t>Le personnel est formé à la prévention et au recyclage des déchets.</t>
  </si>
  <si>
    <t xml:space="preserve">Les déchets entrants font l'objet d'une collecte séparée.   </t>
  </si>
  <si>
    <t>La qualité des mâchefers d'incinération des OMr produits permet après analyse et suivi de les valoriser dans une filière de TP, si possible de proximité.</t>
  </si>
  <si>
    <t>Un controle des déchets entrants et une traçabilité des déchets stockés sont assurés.</t>
  </si>
  <si>
    <t>Les jus sont récupérés et traités.</t>
  </si>
  <si>
    <t>m3/an</t>
  </si>
  <si>
    <t>La performance énergétique de l'UIOM est supérieure à 0,6 (incinérateur construit avant fin 2008), supérieure à 0,65 (incinérateur construit après 2008).</t>
  </si>
  <si>
    <t>Les lixiviats sont captés et traités</t>
  </si>
  <si>
    <t>3.1</t>
  </si>
  <si>
    <t>Le diagnostic de l'économie circulaire réalisé dans l'orientation 1.1 est détaillé pour les filières à enjeux identifiées sur le territoire :
- identification précise des gisements 
- recensement exhaustif des acteurs et initiatives de l'EC
- identification des opportunités de développement</t>
  </si>
  <si>
    <t>Rappel des objectifs nationaux (art. L541-1 code de l'environnement) :
Valorisation de 70 % des déchets du bâtiment et des travaux publics d’ici 2020</t>
  </si>
  <si>
    <t>3.2</t>
  </si>
  <si>
    <t>Soutenir et accompagner la consommation responsable et la sobriété des acteurs du territoire</t>
  </si>
  <si>
    <t xml:space="preserve">La collectivité promeut la sobriété des acteurs de son territoire </t>
  </si>
  <si>
    <t>La collectivité suit les flux de matières impliqués dans les filières à enjeux de l'économie circulaire, entre les différents acteurs sur son territoire (mise à jour annuelle)</t>
  </si>
  <si>
    <t>- calcul des consommations intérieures de matières
- analyse des flux de matières du territoire
- les données extérieures à l'EPCI sont fournies par un dispositif régional permettant aux EPCI de disposer des données nécessaires pour réaliser un métabolisme territorial</t>
  </si>
  <si>
    <t>3.3</t>
  </si>
  <si>
    <t>L'éco-exemplarité se définit comme la concrétisation en interne à la collectivité d'engagements environnementaux. Spécifiquement dans le cadre de cette évaluation, la collectivité éco-exemplaire intègre des critères de circularité dans la commande publique (principal levier d'actions) et mène des actions internes d'économie circulaire</t>
  </si>
  <si>
    <t>En lien avec le diagnostic de l'économie circulaire réalisé sur le territoire (orientation 1.1), la collectivité identifie des axes prioritaires pour sa politique d'achats</t>
  </si>
  <si>
    <t>Pour les volumes d'achats les plus importants, une analyse complète est réalisée :
- cartographie des achats
- identification d'opportunités pour introduire dans la commande les piliers de l'économie circulaire</t>
  </si>
  <si>
    <t>La collectivité et ses groupements s'engagent à diminuer de 30 %, avant 2020, leur consommation de papier bureautique en mettant en place un plan de prévention en ce sens.</t>
  </si>
  <si>
    <t>Le service développement économique de la collectivité promeut et anime les activités de réparation sur le territoire</t>
  </si>
  <si>
    <t>La collectivité impose les critères environnementaux suivants (obligation règlementaire) :
- 25% au moins (40% à partir du 1er janvier 2020) des produits papetiers, articles de papeterie à base de fibres et imprimés sont fabriqués à partir de papier recyclé ;
- Les autres produits papetiers, articles de papeterie à base de fibres et imprimés sont issus de forêts gérées durablement.</t>
  </si>
  <si>
    <t>La collectivité inclut des clauses spécifiques aux activités de l'ESS dans ses marchés publics et/ou allotit ses marchés (décomposition en plusieurs lots qui seront attribués distinctement : cela permet aux structures de petite taille de répondre aux appels d'offre).</t>
  </si>
  <si>
    <t>Si un réseau d'acheteurs "Commande publique et développement durable" existe sur son territoire, ses acheteurs participent aux travaux de partage des connaisances avec ses pairs.</t>
  </si>
  <si>
    <t>Le service développement économique réalise une analyse des activités de réemploi sur le territoire :
- quelle maturité / développement ?
- un soutien de la part de la collectivité est-il nécessaire ?
- …</t>
  </si>
  <si>
    <t>La collectivité accompagne la prévention des déchets des administrations / établissements (administrations, établissements d’enseignement, services de l’Etat, fonction publique hospitalière, établissements de santé et médico-sociaux)</t>
  </si>
  <si>
    <t>3.4</t>
  </si>
  <si>
    <t>Soutenir et accompagner l'éco-conception des produits transformés et les produits serviciels du territoire</t>
  </si>
  <si>
    <t>L'éco-conception vise, dès la conception d'un procédé, d'un bien ou d'un service, à prendre en compte l'ensemble du cycle de vie en minimisant les impacts environnementaux.</t>
  </si>
  <si>
    <t>-organisation de colloques ou de groupes de travail, ou de formation</t>
  </si>
  <si>
    <t>La collectivité se rapproche des éco-organismes pour favoriser leur mise en relation avec les entreprises de son territoire</t>
  </si>
  <si>
    <t>Si des universités sont présentes sur son territoire, la collectivité encourage des partenariats entre les entreprises et ces universités pour développer de nouvelles solutions d'éco-conception et une montée en compétences sur le sujet. Elle s'appuie en particulier sur la Région (qui a la compétence formation / éducation supérieure).</t>
  </si>
  <si>
    <t>-nouvelles formations en éco-conception
-proposition d'alternance sur ce sujet
- partenariats avec des relais pour un accompagnement d'entreprises niveau expert</t>
  </si>
  <si>
    <t>3.5</t>
  </si>
  <si>
    <t>Soutenir et accompagner les projets d'Ecologie Industrielle et Territoriale (EIT)</t>
  </si>
  <si>
    <t>- communication vers les associations d'entreprises, organisation de rencontres inter-entreprises sur la méthode PNSI</t>
  </si>
  <si>
    <t xml:space="preserve">pour les syndicats </t>
  </si>
  <si>
    <t>- ELIPSE</t>
  </si>
  <si>
    <t>3.6</t>
  </si>
  <si>
    <t>Soutenir et accompagner l'économie de la fonctionnalité</t>
  </si>
  <si>
    <t>L’économie de la fonctionnalité consiste à fournir aux entreprises, individus ou territoires, des solutions intégrées de services et de biens reposant sur la vente d’une performance d’usage ou d’un usage et non sur la simple vente de biens. Ces solutions doivent permettre une moindre consommation des ressources naturelles dans une perspective d’économie circulaire, un accroissement du bien-être des personnes et un développement économique. 
Le rôle de la collectivité pour encourager ce type d'économie nécessite de s'appuyer sur des compétences développement économique, notamment à travers des partenariats avec les acteurs adéquats. La collectivité doit être motrice sur ces nouvelles pratiques.</t>
  </si>
  <si>
    <t xml:space="preserve">La collectivité promeut et sensibilise à l'économie de la fonctionnalité les acteurs du territoire (entreprises et usagers) </t>
  </si>
  <si>
    <t xml:space="preserve">  - Sensibilisation des acteurs économiques du territoire en région PACA sous forme d'ateliers
 - Présentation de la prospective sur l'économie de la fonctionnalité en région Normandie et échange avec le public, dans une perspective de développer une opération collective avec les entreprises</t>
  </si>
  <si>
    <t>Elle participe et soutient l'émergence ou le maintien d'un club régional d'économie de la fonctionnalité qui a pour vocation d'animer les acteurs territoriaux sur le sujet</t>
  </si>
  <si>
    <t>La collectivité facilite le développement d'accompagnement des entreprises à l'économie de la fonctionnalité</t>
  </si>
  <si>
    <t xml:space="preserve"> - Favoriser l'auto-partage pour les salariés en étant à l'écoute des usages  (promouvoir les changements de comportements des salariés)
- Mise en lumière de la ville de Lille par la société COFELY INEO (marché public avec mise en dialogue compétitifs)</t>
  </si>
  <si>
    <t>La collectivité anime des collectifs d'acteurs territoriaux (entreprises, associations...) pour faire émerger de nouvelles activités économiques  sur le modèle de l'économie de la fonctionnalité en lien avec les besoins sociaux et le développement durable  du territoire (alimentation, habitat, mobilité durables...) et les filières à enjeux du territoire.</t>
  </si>
  <si>
    <t xml:space="preserve"> -  Des territoires des Hauts de France se sont engagés dans une trajectoire d'économie de la fonctionnalité sur l'habitat, sur l'alimentation et sur les déchets (modèle non encore abouti, réflexion en cours). </t>
  </si>
  <si>
    <t>3.7</t>
  </si>
  <si>
    <t>La collectivité expérimente des projets de recherche et d'innovation, tant sur le volet technologique qu'organisationnel afin de promouvoir les pratiques d'économie circulaire (hors 3.4 à 3.7)</t>
  </si>
  <si>
    <t>La collectivité participe aux programmes d'innovation régionaux (incubateurs, programmes de formation, etc.)</t>
  </si>
  <si>
    <t>GUIDE PRATIQUE D'INTERVENTION D'UNE COLLECTIVITE 
EN FAVEUR D'UNE ECONOMIE CIRCULAIRE DANS LA FILIERE ...</t>
  </si>
  <si>
    <t>Introduction</t>
  </si>
  <si>
    <t>texte</t>
  </si>
  <si>
    <t>Contexte de la filière</t>
  </si>
  <si>
    <t>Enjeux de la filière</t>
  </si>
  <si>
    <t>Organisation et jeu d'acteurs de la filière</t>
  </si>
  <si>
    <t>Rôles de la collectivité</t>
  </si>
  <si>
    <t>Etapes de la filière</t>
  </si>
  <si>
    <t>Liste des compétences de la collectivité</t>
  </si>
  <si>
    <t>Compétence 1</t>
  </si>
  <si>
    <t>Rôle de la collectivité + numéro de l'orientation du référentiel en hypertexte  si lien direct</t>
  </si>
  <si>
    <t>Compétence 2</t>
  </si>
  <si>
    <t>Compétence 3</t>
  </si>
  <si>
    <t>Compétence 4</t>
  </si>
  <si>
    <t>Compétence 5</t>
  </si>
  <si>
    <t>…</t>
  </si>
  <si>
    <t>Légende des rôles des collectivités</t>
  </si>
  <si>
    <r>
      <rPr>
        <b/>
        <sz val="10"/>
        <color theme="5" tint="-0.249977111117893"/>
        <rFont val="Calibri"/>
        <family val="2"/>
        <scheme val="minor"/>
      </rPr>
      <t>animatrice</t>
    </r>
    <r>
      <rPr>
        <sz val="10"/>
        <color theme="5" tint="-0.249977111117893"/>
        <rFont val="Calibri"/>
        <family val="2"/>
        <scheme val="minor"/>
      </rPr>
      <t xml:space="preserve"> : être présent sur le territoire pour faciliter l'appropriation par tous les acteurs des enjeux et animer une démarche co-constuite</t>
    </r>
  </si>
  <si>
    <r>
      <rPr>
        <b/>
        <sz val="10"/>
        <color theme="3" tint="0.39997558519241921"/>
        <rFont val="Calibri"/>
        <family val="2"/>
        <scheme val="minor"/>
      </rPr>
      <t>catalyseuse</t>
    </r>
    <r>
      <rPr>
        <sz val="10"/>
        <color theme="3" tint="0.39997558519241921"/>
        <rFont val="Calibri"/>
        <family val="2"/>
        <scheme val="minor"/>
      </rPr>
      <t xml:space="preserve"> : capacité à réorienter les politiques pour contribuer à l'atteinte des objectifs territoriaux en priorisant par exemple les choix budgétaires et en ciblant les modalités d'intervention financières de la collectivité</t>
    </r>
  </si>
  <si>
    <r>
      <rPr>
        <b/>
        <sz val="10"/>
        <color theme="9" tint="-0.249977111117893"/>
        <rFont val="Calibri"/>
        <family val="2"/>
        <scheme val="minor"/>
      </rPr>
      <t>actrice</t>
    </r>
    <r>
      <rPr>
        <sz val="10"/>
        <color theme="9" tint="-0.249977111117893"/>
        <rFont val="Calibri"/>
        <family val="2"/>
        <scheme val="minor"/>
      </rPr>
      <t xml:space="preserve"> : implication dans la vie locale grâce aux champs de compétence des collectivités et permettant par les achats par exemple d'être au centre des actions à mettre en place, ou encore par le biais de la planification urbaine</t>
    </r>
  </si>
  <si>
    <t>Pour aller plus loin : ressources clés</t>
  </si>
  <si>
    <t>Texte</t>
  </si>
  <si>
    <t>Retours d'expériences, témoignages de collectivités</t>
  </si>
  <si>
    <t>GUIDE PRATIQUE D'INTERVENTION D'UNE COLLECTIVITE 
EN FAVEUR D'UNE ECONOMIE CIRCULAIRE DANS LA FILIERE BATIMENT</t>
  </si>
  <si>
    <t>La filière bâtiment est influencée par un vaste écosystème de structures institutionnelles / publiques. Elle regroupe l’ensemble des acteurs contribuant à mettre un toit sur la tête d'un usager final. Très large, elle représente un CA de 120 M€. Un même acteur peut être présent sur plusieurs filières, et y assumer des rôles différents (en tant que « client » ou « maillon » de la chaine de valeur).
CSF industries pour la construction + CSF bois à venir + CSFR bois</t>
  </si>
  <si>
    <t xml:space="preserve">Les spécificités du jeu d'acteurs : 
− L’usager final peut également être à l’amont de la filière, en tant que MAITRE D’OUVRAGE
− Une filière dont le jeu d’acteurs s’articule autour des PHASES D’UN PROJET DE CONSTRUCTION OU RENOVATION
− Au sein de la filière, des MAILLONS CLOISONNES : il y a peu de dialogue entre les acteurs et il existe des enjeux forts de RESPONSABILITE JURIDIQUE des acteurs sur leur périmètre d’intervention.
− DES MÉTIERS TRÈS DIVERS, avec une forte hétérogénéité des niveaux de qualification (métiers manuels, ingénierie, …)
− UNE FILIÈRE À L’INTERFACE D’AUTRES FILIÈRES : bois / matériaux / énergie 
</t>
  </si>
  <si>
    <t>Sécurité</t>
  </si>
  <si>
    <t>Action sociale et santé</t>
  </si>
  <si>
    <t>Emploi - insertion professionnelle</t>
  </si>
  <si>
    <t>mise en place d’une ressourcerie/recyclerie &gt; filière de réemploi sur le bâtiment en réinsertion</t>
  </si>
  <si>
    <t>Enseignement</t>
  </si>
  <si>
    <t>sur ses travaux : préconisation matériaux à faible impact (carbone, issu filière locale, issu recyclage)  via la commande publique</t>
  </si>
  <si>
    <t xml:space="preserve">sur ses travaux : préconisation modalités de distribution (maritime, fluvial, ferroviaire, ….) via la commande publique
</t>
  </si>
  <si>
    <t>via ses achats directement</t>
  </si>
  <si>
    <t>Enfance</t>
  </si>
  <si>
    <t>Sports</t>
  </si>
  <si>
    <t>Action culturelle</t>
  </si>
  <si>
    <t>Tourisme</t>
  </si>
  <si>
    <t>Intervention dans le domaine économique</t>
  </si>
  <si>
    <t xml:space="preserve">
Sur un flux donné (en lien avec déchets propres) REX : pavés, AAP ville de Paris filière briques en terres crues , …
</t>
  </si>
  <si>
    <t>Urbanisme</t>
  </si>
  <si>
    <r>
      <t xml:space="preserve">pas sur ses travaux propres, via </t>
    </r>
    <r>
      <rPr>
        <b/>
        <sz val="10"/>
        <rFont val="Trebuchet MS"/>
        <family val="2"/>
      </rPr>
      <t>urbanisme</t>
    </r>
    <r>
      <rPr>
        <sz val="10"/>
        <rFont val="Trebuchet MS"/>
        <family val="2"/>
      </rPr>
      <t xml:space="preserve"> (réduction des nuisances) REX Bordeaux agglo NOE : plateformes physiques et numérique pour mutualiser les différents services : locaux, appro MP, …. La collectivité met à disposition foncier</t>
    </r>
  </si>
  <si>
    <t>Logement &amp; habitat</t>
  </si>
  <si>
    <t>Environnement &amp; patrimoine</t>
  </si>
  <si>
    <t>Déchets</t>
  </si>
  <si>
    <t xml:space="preserve">sur ses propres travaux et doit être intégré dans le marché public </t>
  </si>
  <si>
    <t>Aérodromes</t>
  </si>
  <si>
    <t>sur ses travaux : préconisation modalités de distribution (maritime, fluvial, ferroviaire, ….) via la commande publique</t>
  </si>
  <si>
    <t>GUIDE PRATIQUE D'INTERVENTION D'UNE COLLECTIVITE 
EN FAVEUR D'UNE ECONOMIE CIRCULAIRE DANS LA FILIERE ALIMENTATION</t>
  </si>
  <si>
    <t xml:space="preserve">
</t>
  </si>
  <si>
    <t>- La filière "alimentaire" se segmente en sous-filières, avec des jeux d'acteurs, des chaînes de valeur et des dynamiques spécifiques ( ex : filières fruits&amp; légumes, viande bovine)
- Une multiplicité d'acteurs peuvent réaliser la même fonction
- Plusieurs fonctions peuvent être intégrées verticalement par des acteurs</t>
  </si>
  <si>
    <t>Développement économique</t>
  </si>
  <si>
    <r>
      <t xml:space="preserve">L’accompagnement à des changements de pratiques agricoles (en appui aux chambres d'agiculture, Civam, et autres organismes agricoles) </t>
    </r>
    <r>
      <rPr>
        <sz val="10"/>
        <rFont val="Calibri"/>
        <family val="2"/>
        <scheme val="minor"/>
      </rPr>
      <t>Axe 3.4 ?</t>
    </r>
  </si>
  <si>
    <r>
      <rPr>
        <sz val="10"/>
        <color theme="5"/>
        <rFont val="Calibri"/>
        <family val="2"/>
        <scheme val="minor"/>
      </rPr>
      <t xml:space="preserve">Valorisation des savoir-faire locaux (artisanat, métier de bouche, …) </t>
    </r>
    <r>
      <rPr>
        <sz val="10"/>
        <color theme="9"/>
        <rFont val="Calibri"/>
        <family val="2"/>
        <scheme val="minor"/>
      </rPr>
      <t xml:space="preserve">et création d'activités (conserverie, légumerie, …) 
</t>
    </r>
    <r>
      <rPr>
        <sz val="10"/>
        <rFont val="Calibri"/>
        <family val="2"/>
        <scheme val="minor"/>
      </rPr>
      <t>Axe 3.4, 3.6 et 3.7</t>
    </r>
  </si>
  <si>
    <r>
      <t xml:space="preserve">Organisation des marchés alimentaires locaux
</t>
    </r>
    <r>
      <rPr>
        <sz val="10"/>
        <rFont val="Calibri"/>
        <family val="2"/>
        <scheme val="minor"/>
      </rPr>
      <t>Axe 3.2</t>
    </r>
    <r>
      <rPr>
        <sz val="10"/>
        <color theme="9"/>
        <rFont val="Calibri"/>
        <family val="2"/>
        <scheme val="minor"/>
      </rPr>
      <t xml:space="preserve">
</t>
    </r>
  </si>
  <si>
    <r>
      <rPr>
        <sz val="10"/>
        <color theme="3" tint="0.39997558519241921"/>
        <rFont val="Calibri"/>
        <family val="2"/>
        <scheme val="minor"/>
      </rPr>
      <t>Soutien ou</t>
    </r>
    <r>
      <rPr>
        <sz val="10"/>
        <color theme="9"/>
        <rFont val="Calibri"/>
        <family val="2"/>
        <scheme val="minor"/>
      </rPr>
      <t xml:space="preserve"> </t>
    </r>
    <r>
      <rPr>
        <sz val="10"/>
        <color theme="5"/>
        <rFont val="Calibri"/>
        <family val="2"/>
        <scheme val="minor"/>
      </rPr>
      <t>développement</t>
    </r>
    <r>
      <rPr>
        <sz val="10"/>
        <color theme="9"/>
        <rFont val="Calibri"/>
        <family val="2"/>
        <scheme val="minor"/>
      </rPr>
      <t xml:space="preserve"> de projets d'écologie industrielle et territoriale (réseau de chaleur, méthanisation, valorisation des co-produits, emballages, …) : </t>
    </r>
    <r>
      <rPr>
        <sz val="10"/>
        <rFont val="Calibri"/>
        <family val="2"/>
        <scheme val="minor"/>
      </rPr>
      <t>Axe 3.5</t>
    </r>
  </si>
  <si>
    <r>
      <t xml:space="preserve">Soutien au développement d'une plateforme logistique
</t>
    </r>
    <r>
      <rPr>
        <sz val="10"/>
        <rFont val="Calibri"/>
        <family val="2"/>
        <scheme val="minor"/>
      </rPr>
      <t>Axe 3.5 ?</t>
    </r>
  </si>
  <si>
    <t>Tourisme ou action culturelle</t>
  </si>
  <si>
    <r>
      <rPr>
        <sz val="10"/>
        <color theme="9"/>
        <rFont val="Calibri"/>
        <family val="2"/>
        <scheme val="minor"/>
      </rPr>
      <t>Organisation</t>
    </r>
    <r>
      <rPr>
        <sz val="10"/>
        <color theme="1"/>
        <rFont val="Calibri"/>
        <family val="2"/>
        <scheme val="minor"/>
      </rPr>
      <t xml:space="preserve"> </t>
    </r>
    <r>
      <rPr>
        <sz val="10"/>
        <color theme="5"/>
        <rFont val="Calibri"/>
        <family val="2"/>
        <scheme val="minor"/>
      </rPr>
      <t>ou soutien à l'organisation d'</t>
    </r>
    <r>
      <rPr>
        <sz val="10"/>
        <color theme="3" tint="0.39997558519241921"/>
        <rFont val="Calibri"/>
        <family val="2"/>
        <scheme val="minor"/>
      </rPr>
      <t xml:space="preserve">évènements et d'actions de sensibilisation et d’éducation à l’alimentation durable (où peuvent intervenir producteurs, transformateurs, métiers de bouche, AMAP, … et avec les composantes gestion des déchets organiques (compostage, méthanisation, ...) 
</t>
    </r>
    <r>
      <rPr>
        <sz val="10"/>
        <rFont val="Calibri"/>
        <family val="2"/>
        <scheme val="minor"/>
      </rPr>
      <t>Axe 3.2 et 5.1</t>
    </r>
  </si>
  <si>
    <t>Agriculture</t>
  </si>
  <si>
    <r>
      <t xml:space="preserve">Affectation des terres agricoles (en lien avec la Safer)
Achat et location de terres agricoles
</t>
    </r>
    <r>
      <rPr>
        <sz val="10"/>
        <rFont val="Calibri"/>
        <family val="2"/>
        <scheme val="minor"/>
      </rPr>
      <t>Axe 1.1 et 1.2 et 3.7</t>
    </r>
  </si>
  <si>
    <t>Eau et assainissement</t>
  </si>
  <si>
    <r>
      <rPr>
        <sz val="10"/>
        <color theme="9"/>
        <rFont val="Calibri"/>
        <family val="2"/>
        <scheme val="minor"/>
      </rPr>
      <t xml:space="preserve">Protection de la ressource en eau : </t>
    </r>
    <r>
      <rPr>
        <sz val="10"/>
        <color theme="5"/>
        <rFont val="Calibri"/>
        <family val="2"/>
        <scheme val="minor"/>
      </rPr>
      <t xml:space="preserve">gestion des pratiques culturales </t>
    </r>
    <r>
      <rPr>
        <sz val="10"/>
        <color theme="3" tint="0.39997558519241921"/>
        <rFont val="Calibri"/>
        <family val="2"/>
        <scheme val="minor"/>
      </rPr>
      <t xml:space="preserve">autour des points de captage
</t>
    </r>
    <r>
      <rPr>
        <sz val="10"/>
        <rFont val="Calibri"/>
        <family val="2"/>
        <scheme val="minor"/>
      </rPr>
      <t>Axe 1.1 et 1.2</t>
    </r>
  </si>
  <si>
    <t>Enfance et enseignement</t>
  </si>
  <si>
    <r>
      <t xml:space="preserve">Protection du foncier agricole </t>
    </r>
    <r>
      <rPr>
        <sz val="10"/>
        <rFont val="Calibri"/>
        <family val="2"/>
        <scheme val="minor"/>
      </rPr>
      <t>Axe 1.1 et 1.2</t>
    </r>
  </si>
  <si>
    <r>
      <t xml:space="preserve">Sensibilisation à la prévention des déchets des ménages 
Collecte des biodéchets et/ou aide à l'acquisitation de composteur et/ou plateforme de compostage et/ou unité de méthanisation
</t>
    </r>
    <r>
      <rPr>
        <sz val="10"/>
        <rFont val="Calibri"/>
        <family val="2"/>
        <scheme val="minor"/>
      </rPr>
      <t>Axe 2.1, 2.2 et 2.3 (2.5 pour les biodéchets des entreprises)</t>
    </r>
  </si>
  <si>
    <r>
      <rPr>
        <b/>
        <sz val="10"/>
        <color theme="5"/>
        <rFont val="Calibri"/>
        <family val="2"/>
        <scheme val="minor"/>
      </rPr>
      <t>animatrice</t>
    </r>
    <r>
      <rPr>
        <sz val="10"/>
        <color theme="5"/>
        <rFont val="Calibri"/>
        <family val="2"/>
        <scheme val="minor"/>
      </rPr>
      <t xml:space="preserve"> : être présent sur le territoire pour faciliter l'appropriation par tous les acteurs des enjeux et animer une démarche co-constuite</t>
    </r>
  </si>
  <si>
    <t>4.1</t>
  </si>
  <si>
    <t>Promouvoir les nouveaux outils financiers</t>
  </si>
  <si>
    <t>La mise en œuvre d'outils financiers constitue une voie complémentaire aux dispositifs traditionnels, dans un contexte de raréfaction des ressources budgétaires ; la mise à contribution des acteurs privés (ménages, entreprises…), l'émergence de nouveaux modèles économiques... nécessitent la recherche de nouveaux outils financiers, que la collectivité peut promouvoir.</t>
  </si>
  <si>
    <t>pour les syndicats</t>
  </si>
  <si>
    <t>La collectivité assure une veille sur les moyens de financement existants pour développer et porter des projets d'économie circulaire (accompagnement financier de la Région, ADEME, BPI, CDC, financements européens, crowdfunding…).</t>
  </si>
  <si>
    <t>- espace dédié sur le site internet de la collectivité
- Mise à contribution d'un interlocuteur ayant la compétence développement économique / entreprises</t>
  </si>
  <si>
    <t>La collectivité communique sur ces moyens de financement</t>
  </si>
  <si>
    <t>via son site internet, une newsletter, les journaux ou un blog par exemple</t>
  </si>
  <si>
    <t>En particulier, la collectivité améliore la lisibilité des financements disponibles pour les acteurs de l'ESS de petite taille.</t>
  </si>
  <si>
    <r>
      <t xml:space="preserve">Source : </t>
    </r>
    <r>
      <rPr>
        <i/>
        <sz val="10"/>
        <rFont val="Calibri"/>
        <family val="2"/>
        <scheme val="minor"/>
      </rPr>
      <t>Economie circulaire et ESS : Complémentarités et synergies</t>
    </r>
    <r>
      <rPr>
        <sz val="10"/>
        <rFont val="Calibri"/>
        <family val="2"/>
        <scheme val="minor"/>
      </rPr>
      <t xml:space="preserve">, </t>
    </r>
    <r>
      <rPr>
        <u/>
        <sz val="10"/>
        <rFont val="Calibri"/>
        <family val="2"/>
        <scheme val="minor"/>
      </rPr>
      <t>Pour La Solidarité</t>
    </r>
    <r>
      <rPr>
        <sz val="10"/>
        <rFont val="Calibri"/>
        <family val="2"/>
        <scheme val="minor"/>
      </rPr>
      <t>, Note d'analyse, Novembre 2016.</t>
    </r>
  </si>
  <si>
    <t>La collectivité accompagne les acteurs de l'économie circulaire sur son territoire  dans leur recherche de financements en fonction de leurs besoins</t>
  </si>
  <si>
    <t>La collectivité propose des financements avec des tickets d'entrée moins élevés à destination des acteurs de l'ESS. Dans la mesure du possible, elle propose davantage de financements structurels pour favoriser la pérennisation des activités et des emplois</t>
  </si>
  <si>
    <t>La collectivité réserve une part de son budget au financement de projets sur le sujet de l'économie circulaire.</t>
  </si>
  <si>
    <t>La loi du 7 juillet 2014 relative à la politique de développement et de solidarité internationale autorise les collectivités locales, compétentes en matière de collecte et de traitement des déchets des ménages, à affecter jusqu'à 1% des ressources de ces services sur des actions de coopération internationale (Article L 1115-2 du code général des collectivités territoriales)</t>
  </si>
  <si>
    <t>Elle identifie, valorise et communique autour des démarches exemplaires du territoire.</t>
  </si>
  <si>
    <t>+ blog DD</t>
  </si>
  <si>
    <t>4.2</t>
  </si>
  <si>
    <t xml:space="preserve">Connaitre les coûts pour maîtriser les dépenses publiques </t>
  </si>
  <si>
    <t>La collectivité dispose d'un bilan annuel détaillé des coûts de la collecte et du traitement des déchets et le communique de manière synthétique et accessible aux usagers.</t>
  </si>
  <si>
    <t>La collectivité suit l'évolution des coûts d'une année sur l'autre</t>
  </si>
  <si>
    <t xml:space="preserve">Des actions d'optimisation des coûts ont été mises en place. </t>
  </si>
  <si>
    <t>réduction des coûts sur les déchets résiduels utilisée pour mettre en place de nouvelles actions en faveur de l'EC (prévention / valorisation matière)</t>
  </si>
  <si>
    <t>La collectivité se situe par rapport aux référentiels ADEME coûts et collecte</t>
  </si>
  <si>
    <t>4.3</t>
  </si>
  <si>
    <t>Mettre en place un système de financement qui encourage l'adhésion aux pratiques de l'économie circulaire</t>
  </si>
  <si>
    <t>Un système de financement adapté peut être un levier de sensibilisation important pour susciter l'adhésion aux pratiques de l'économie circulaire. Un tel système de financement vise au changement de comportement des acteurs du territoire et bénéficiaires des financements.</t>
  </si>
  <si>
    <t>La collectivité étudie la mise en place d'un système de tarification incitative (y compris redevance spéciale en cas de TEOM incitative) sur l'ensemble du territoire.</t>
  </si>
  <si>
    <t xml:space="preserve">Si cela est pertinent pour la collectivité, celle-ci met en place la tarification incitative (y compris redevance spéciale en cas de TEOM incitative) et optimise les recettes liées à la réalisation du service.  </t>
  </si>
  <si>
    <t>part de la population concernée par une TI (en cas de phasage temporel)
en cas de RI : 
- nombre/part d'usagers ménages en maison
- nombre/part d'usagers ménages en appartement (facturés individuellement)
- nombre/part d'usagers collectifs (facturation à l'immeuble)
- nombre/part d'usagers professionnels
en cas de TEOMi :
- seuil de RS
- nombre/part de professionnels facturés en RS 
- nombre/part de professionnels non usagers exonérés de TEOM</t>
  </si>
  <si>
    <t>mise en place de la RI pour tous les usagers du service 
ou 
mise en place de la TEOMi pour les ménages et les "petits" producteurs non ménagers + RS pour les "gros" producteurs non ménagers + exonération des professionnels qui n'utilisent pas le service
NB : certaines collectivités peuvent avoir fait le choix de ne pas mettre en place de tarification incitative (pour des raisons de coût, d'organisation...). La motivation de cet abandon doit être dûment justifiée (réduction de potentiel associée)</t>
  </si>
  <si>
    <t>La collectivité expérimente d'autres systèmes de rémunération des coûts évités.</t>
  </si>
  <si>
    <t>La collectivité comptabilise les flux monétaires restant sur son territoire</t>
  </si>
  <si>
    <t>5.1</t>
  </si>
  <si>
    <t>La collectivité maître d'ouvrage invite  les acteurs  du  territoire à contribuer au projet de politique Economie Circulaire : citoyens, associations, …</t>
  </si>
  <si>
    <t>La collectivité organise une consultation auprès des citoyens concernant son projet et sa stratégie EC</t>
  </si>
  <si>
    <t>La collectivité réalise une concertation collaborative pour l'élaboration de son projet d'économie circulaire</t>
  </si>
  <si>
    <t xml:space="preserve">La collectivité sensibilise les acteurs du territoire à son projet d'économie circulaire </t>
  </si>
  <si>
    <t>La collectivité met en place des rencontres (de type "formation-action") pour faciliter l'expression de projets d'actions d'économie circulaire proposées et portées par les acteurs du territoire</t>
  </si>
  <si>
    <t>Mettre en place des sessions de formation-action permettant de faire émerger des projets et leurs porteurs, d'identifier leurs besoins (accompagnement, communication…) et de formaliser des conventions de partenariat</t>
  </si>
  <si>
    <t xml:space="preserve">La collectivité mène une politique d’éducation populaire : elle identifie et forme les citoyens et associations relais de sa politique Economie Circulaire </t>
  </si>
  <si>
    <t>Les partenaires et relais formés mettent en place des actions, qui contribuent à la construction/évolution de la politique d'économie circulaire, et agissent dans leurs sphères respectives</t>
  </si>
  <si>
    <t>La politique d'économie circulaire est composée d'actions proposées puis portées par des acteurs du territoire
Réunion annuelle permettant de regrouper ces relais/partenaires et de communiquer pour valoriser leur implication auprès des habitants du territoire</t>
  </si>
  <si>
    <t>5.2</t>
  </si>
  <si>
    <t>Informer et mobiliser les collectivités infra</t>
  </si>
  <si>
    <t>La collectivité sensibilise ses collectivités infra (collectivités adhérentes dans le cas d’un syndicat) pour  leur présenter son  projet de politique Economie Circulaire</t>
  </si>
  <si>
    <t xml:space="preserve">réunions  de sensibilisation dans les communes </t>
  </si>
  <si>
    <t>La collectivité dispose d'un correspondant Economie Circulaire dans chacune des ses collectivités infra (collectivités adhérentes dans le cas d’un syndicat) . Il peut s'agir du correspondant Développement Durable éventuellement.</t>
  </si>
  <si>
    <t>Des correspondants désignés par les instances des collectivités sont  identifiés.</t>
  </si>
  <si>
    <t>Les collectivités infra (collectivités adhérentes dans le cas d’un syndicat) élargissent le périmètre d'action de la collectivité initiatrice : elles initient et/ou encouragent elles-mêmes des actions d'économie circulaire sur leur territoire</t>
  </si>
  <si>
    <t>5.3</t>
  </si>
  <si>
    <t>Informer et mobiliser les acteurs économiques et leurs relais</t>
  </si>
  <si>
    <t xml:space="preserve">Si cela est nécessaire et relève d'une demande des acteurs du territoire, la collectivité rend accessibles les données collectées et cartographies réalisées, dans le cadre de sa politique EC. </t>
  </si>
  <si>
    <t>La collectivité sensibilise les entreprises de son territoire et  leur présente son projet de politique EC, suivant les différentes filières à enjeu et selon tous les piliers de l'EC.</t>
  </si>
  <si>
    <t>La collectivité communique autour des acteurs de l'ESS et de ses activités sur le territoire. Elle les identifie clairement comme des acteurs du réemploi et plus largement de l'économie circulaire.</t>
  </si>
  <si>
    <t>Des entreprises du territoire utilisent les données fournies par la CL pour développer des actions d'Economie Circulaire qui contribuent à la politique de la collectivité</t>
  </si>
  <si>
    <t>Actions d'économie circulaire portées par des entreprises du territoire inscrites dans la politique d'EC</t>
  </si>
  <si>
    <t>Axe</t>
  </si>
  <si>
    <t>Intitulé</t>
  </si>
  <si>
    <t>Pondération orientation</t>
  </si>
  <si>
    <t>Correspondance</t>
  </si>
  <si>
    <t>P1</t>
  </si>
  <si>
    <t>P2</t>
  </si>
  <si>
    <t>P3</t>
  </si>
  <si>
    <t>Action</t>
  </si>
  <si>
    <t>Décret associé</t>
  </si>
  <si>
    <t xml:space="preserve">2.1 Disposer d'un programme de prévention des déchets </t>
  </si>
  <si>
    <t>fondement : article L541-15-1  code de l'environnement + décret 2015-662</t>
  </si>
  <si>
    <t>2015 - 662</t>
  </si>
  <si>
    <t>2.2 Améliorer l'efficience du système de collecte</t>
  </si>
  <si>
    <t>Article 80 LTECV</t>
  </si>
  <si>
    <t>article L224-8 du code de l'environnement</t>
  </si>
  <si>
    <t>Décret n° 2017-22 du 11 janvier 2017 pris pour l'application du premier alinéa de l'article L. 224-8 du code de l'environnement définissant les critères caractérisant les véhicules à faibles émissions dont le poids total autorisé en charge excède 3,5 tonnes
(art. R224-15-8 du code de l'environnement)
DOM:
Décret n° 2017-457 du 30 mars 2017 relatif à la programmation pluriannuelle de l'énergie de la Guyane
Décret n° 2017-530 du 12 avril 2017 relatif à la programmation pluriannuelle de l'énergie de La Réunion
Décret n° 2017-570 du 19 avril 2017 relatif à la programmation pluriannuelle de l'énergie de la Guadeloupe</t>
  </si>
  <si>
    <t>Article L541-21-1 du Code de l'environnement : A compter du 1er janvier 2012, les personnes qui produisent ou détiennent des quantités importantes de déchets composés majoritairement de biodéchets sont tenues de mettre en place un tri à la source et une valorisation biologique ou, lorsqu'elle n'est pas effectuée par un tiers, une collecte sélective de ces déchets pour en permettre la valorisation de la matière de manière à limiter les émissions de gaz à effet de serre et à favoriser le retour au sol. A compter du 1er janvier 2025, cette obligation est étendue à tous les professionnels produisant ou détenant des déchets composés majoritairement de biodéchets</t>
  </si>
  <si>
    <t>Décret n° 2011-828 du 11 juillet 2011 portant diverses dispositions relatives à la prévention et à la gestion des déchets
 (art R543-225 du code de l'environnement)</t>
  </si>
  <si>
    <t>2.3 Valoriser et hiérarchiser le traitement de la matière (dont matière organique)</t>
  </si>
  <si>
    <t>Article L541-1 Code de l'environnement</t>
  </si>
  <si>
    <t>Décret n° 2011-828 du 11 juillet 2011 portant diverses dispositions relatives à la prévention et à la gestion des déchets
Décret n° 2016-811 du 17 juin 2016 relatif au plan régional de prévention et de gestion des déchets</t>
  </si>
  <si>
    <t>3.1 Identifier les boucles de l'économie circulaire à enjeu sur le territoire</t>
  </si>
  <si>
    <t>Obligations réglementaires concernant les déchets de chantiers de routes / matériaux de construction-entretien des routes (mais sans sanction apparente en cas de manquement)
article 79 LTECV : Au plus tard en 2020, l'Etat et les collectivités territoriales s'assurent qu'au moins 70 % des matières et déchets produits sur les chantiers de construction ou d'entretien routiers dont ils sont maîtres d'ouvrage sont réemployés ou orientés vers le recyclage ou les autres formes de valorisation matière, au sens de la directive 2008/98/CE du Parlement européen et du Conseil, du 19 novembre 2008, relative aux déchets et abrogeant certaines directives.
Tout appel d'offres que l'Etat ou les collectivités territoriales publient pour la construction ou l'entretien routier intègre une exigence de priorité à l'utilisation des matériaux issus du réemploi, de la réutilisation ou du recyclage de déchets.
Chaque collectivité justifie chaque année 
à partir de 2017:
a) Qu'au moins 50 % en masse de l'ensemble des matériaux utilisés pendant l'année dans leurs chantiers de construction routiers sont issus du réemploi, de la réutilisation ou du recyclage de déchets ;
b) Et que, pour les matériaux utilisés pendant l'année dans les chantiers de construction et d'entretien routiers parmi ces matériaux, au moins 10 % en masse des matériaux utilisés dans les couches de surface et au moins 20 % en masse des matériaux utilisés dans les couches d'assise sont issus du réemploi, de la réutilisation ou du recyclage de déchets ;
à partir de 2020 :
a) Qu'au moins 60 % en masse de l'ensemble des matériaux utilisés pendant l'année dans leurs chantiers de construction routiers sont issus du réemploi, de la réutilisation ou du recyclage de déchets ;
b) Et que, pour les matériaux utilisés pendant l'année dans les chantiers de construction et d'entretien routiers parmi ces matériaux, au moins 20 % en masse des matériaux utilisés dans les couches de surface et au moins 30 % en masse des matériaux utilisés dans les couches d'assise sont issus du réemploi, de la réutilisation ou du recyclage de déchets.</t>
  </si>
  <si>
    <t>Article 79 LTECV</t>
  </si>
  <si>
    <t xml:space="preserve">Pas de décret </t>
  </si>
  <si>
    <t>idem</t>
  </si>
  <si>
    <t>4.3 Mettre en place un système de financement qui encourage l'adhésion aux pratiques de l'économie circulaire</t>
  </si>
  <si>
    <t>Article 541-1 code de l'environnement : Les collectivités territoriales progressent vers la généralisation d'une tarification incitative en matière de déchets, avec pour objectif que quinze millions d'habitants soient couverts par cette dernière en 2020 et vingt-cinq millions en 2025 ;
Obligation reprise dans le PRPGD.</t>
  </si>
  <si>
    <t>Décret n° 2016-811 du 17 juin 2016 relatif au plan régional de prévention et de gestion des déchets</t>
  </si>
  <si>
    <t>&gt; Considérer les matériaux comme une ressource sur le long terme
La fin de vie des déchets de construction doit être pensée bien en amont du projet pour anticiper les stratégies de valorisation. La thématique de l’« urban mining » (consiste à considérer les espaces urbains comme des gisements en métaux et minéraux sur le long terme) permet d’envisager le bâti comme un « stock » en progression constante, immobilisé sur le temps long. Les espaces construits ne sont alors plus considérés comme des consommateurs et émetteurs de GES mais comme des ressources (stock de matières premières secondaires). Cette idée, relativement récente, permettra aux territoires de limiter in fine leurs importations de nouvelles matières. Certains outils visent à quantifier et qualifier ces ressources, et notamment à identifier à quelle échéance la matière sera disponible pour alimenter de nouvelles constructions. Les nouvelles technologies de l’information et de la communication, telle que la modélisation par ordinateur, facilitent cette traçabilité. Ainsi, les propriétaires, les utilisateurs et les autres acteurs « amont » (collectivités, aménageurs, maîtres d’ouvrage non exploitants) ont intérêt à appliquer les principes de l’économie circulaire pour conserver la valeur du bâtiment la plus élevée et le plus longtemps possible.
&gt; Accroître la performance de la construction et anticiper les évolutions par les usages
Accompagner l’utilisateur dans la gestion de sa consommation de ressources (eau, matière, énergie) permet d’améliorer les performances du bâtiment. Pourtant, l’Analyse du Cycle de Vie ne prend pas en compte les performances liées aux usages des habitants. Les relations entre usages et performances du bâti peuvent être abordées par les usagers eux-mêmes. Comment inciter ces derniers à être acteurs de la réduction de la consommation et à participer à la performance du bâtiment ? Plusieurs leviers peuvent être actionnés pour inviter l’usager et l’habitant à se réapproprier les enjeux et les solutions mais aussi à modifier ses comportements pour limiter ses consommations. Dans les « smart cities », les systèmes de gestion intelligents appliqués à des flux (énergie, eau) permettent aux consommateurs d’accéder rapidement et facilement au suivi de leurs consommations. Dans les entreprises, ces systèmes sont combinés à une obligation légale de reporting des données environnementales (audits énergétiques, Bilans d’Émissions de Gaz à Effet de Serre), qui les pousse à mesurer leurs impacts et les aide ainsi à formaliser les plans d’actions nécessaires pour les réduire. Certaines entreprises volontaires s’engagent aujourd’hui dans ces types de démarches car elles visent l’exemplarité environnementale. Dans une approche « low tech » qui peut s’associer à la précédente, les sciences comportementales permettent de déceler les motivations, les freins et les leviers psychosociaux des usagers. L’optimisation de la construction peut également intervenir en pensant un usage intensif des lieux : mutualisation, mutabilité, réversibilité, réemploi, mixité des fonctions, chronotopie (changement d’usage dans le temps), etc. Il s’agit alors d’effectuer des arbitrages dans la conception qui favoriseront par exemple la modularité des bâtiments (hauteurs sous plafonds, cloisons, branchements d’eau), la mixité habitat/tertiaire, la mutualisation, etc.</t>
  </si>
  <si>
    <t xml:space="preserve">
En France, le secteur de la construction représente 43% de la consommation énergétique totale et produit plus de 120 millions de tonnes de CO2 par an, c’est-à dire presque un quart des émissions du pays.</t>
  </si>
  <si>
    <t xml:space="preserve">Bibliographie </t>
  </si>
  <si>
    <t>Cahier technique AEU2 "Activités économiques", ADEME, réf 8101, décembre 2014</t>
  </si>
  <si>
    <t>Réussir la planification et l'aménagement durables (AEU2), ADEME, réf 7586, juin 2013</t>
  </si>
  <si>
    <t>Cahier technique AEU2 "Ecosystèmes dans les Territoires", ADEME, réf 7592, janvier 2015</t>
  </si>
  <si>
    <t>Liens autres</t>
  </si>
  <si>
    <t>Sites Internet</t>
  </si>
  <si>
    <t>Co-recyclage : plateforme en ligne qui permet de donner et récupérer des objets gratuitement</t>
  </si>
  <si>
    <t>le réseau des ressourceries : association proposant la collecte d'objects non utilisés dans le but de leur offrir une seconde vie</t>
  </si>
  <si>
    <t>Guide de comptabilité des flux de matières dans les régions et les départements, CGDD-SOeS, juin 2014</t>
  </si>
  <si>
    <t>Intégration de l'économie circulaire dans la planification régionale et les démarches territoriales : synergies, méthodes et recommandations, ADEME-Auxilia, septembre 2016</t>
  </si>
  <si>
    <t>SitraM- système d'information sur les transports de marchandises, MTES-SOeS</t>
  </si>
  <si>
    <t>Etude sur les nouveaux modèles économiques urbains : Qui paiera la ville (de) demain ? ADEME-Ibicity-Acadie-Espelia, décembre 2016</t>
  </si>
  <si>
    <t>Nouveaux modèles économiques, opportunités de développement durable du territoire, CERDD, 2016</t>
  </si>
  <si>
    <t xml:space="preserve">Centre de ressources pédagogiques européen de l'économie de la fonctionnalité et la coopération, ATEMIS-Cria-Dinamia-EcoRes-Fondazione-Giacomo Brodolini </t>
  </si>
  <si>
    <t xml:space="preserve">Thème éco-label </t>
  </si>
  <si>
    <t>1.4</t>
  </si>
  <si>
    <t xml:space="preserve">https://www.ademe.fr/aeu2-approche-cout-global-projets-damenagement-l </t>
  </si>
  <si>
    <t xml:space="preserve">En lien avec le diagnostic de l'économie circulaire réalisé dans l'orientation 1.1, la collectivité identifie précisément les filières à enjeux sur son territoire et met en place un plan d'actions "boucle" dédié par filière. Une boucle locale d'économie circulaire vise à conserver le plus longtemps possible dans l’économie (locale) la valeur d’un produit, de ses composants ou des matières (des ressources) en limitant la génération de déchets (et en développant le partage, la réparation, le réemploi, la réutilisation, la rénovation, la refabrication et le recyclage) dans une perspective de développement d’activité économique  (durable, faible en carbone et efficace en ressources) et d’emplois locaux (ou de proximité).
</t>
  </si>
  <si>
    <t>Exemple d'interaction entre la stratégie économie circulaire et les politiques de la collectivité notamment sur le bâtiment et l'alimentation : planification, urbanisme,  aménagement, agricole, biodiversité, achats, santé publique, qualité de l'air, prévention et gestion des déchets, développement économique ...</t>
  </si>
  <si>
    <t>L’empreinte matières, un indicateur révélant
notre consommation réelle de matières premières, CGDD, avril 18
ISSN : 2557-8510</t>
  </si>
  <si>
    <t>Thème achat publique</t>
  </si>
  <si>
    <t>La collectivité systématise les démarches en coût global lors de la conception des bâtiments (neuf ou rénovation)</t>
  </si>
  <si>
    <t>Etude Moe comprenant un volet coût complet sur le cycle de vie du bâtiment intégrant les coûts de conception, de fabrication, d'usage (énergie, maintenance, …) et de fin de vie</t>
  </si>
  <si>
    <t>Elle peut notamment établir un suivi des chantiers à l'échelle du territoire pour favoriser les échanges de matériaux</t>
  </si>
  <si>
    <t xml:space="preserve">Ex : appui à la commande durable et de proximité pour les approvisionnements de la restauration collective d'un établissement hospitalier. </t>
  </si>
  <si>
    <t>Nota concenant les déchets du bâtiment : l'observatoire régional déchets/ressources  n'intègre pas à ce jour la question des déchets du BTP mais des initiatives sont en cours dnas le cadre des PRPGD.  
Un lien est à établir avec les CERC et les acteurs de la filière (entreprises de recylclage -SEDDRe-FEDEREC-..., entreprises du bâtiment CAPEB-FFB..., fournisseurs et distributeurs de matériaux - AIMCC, FNBM...) pour une meilleure remontée des informations.</t>
  </si>
  <si>
    <t xml:space="preserve">La collectivité a engagé des actions de prévention et de sensibilisation auprès des professionnels qui utilisent les services de collecte de la collectivité. Elle suit de la mise en place de l'obligation de reprise et de la qualité du système de collecte et de valorisation associée etassure une  articulation entre l'offre des professionnels et les déchèteries publiques. </t>
  </si>
  <si>
    <t>Référentiel d'actions 
Notice d'utilisation</t>
  </si>
  <si>
    <t>(Dé)construction et aménagement</t>
  </si>
  <si>
    <t>Onglet blanc</t>
  </si>
  <si>
    <t>Pour en savoir +</t>
  </si>
  <si>
    <t>Pour aller plus loin avec des exemples et ressources clés</t>
  </si>
  <si>
    <t>Le diagnostic de l'économie circulaire sur le territoire est réalisé. Il comporte :
- une identification des orientations et des objectifs établis régionalement dans les documents de planification (SRDEII, PRPGD, PRAEC, SRADDET, S3 ...)
- une cartographie des principaux flux entrants, sortants et internes au territoire
- une caractérisation des filières à enjeu en s'appuyant notamment sur  : 
*les acteurs 
*le SRDEII et S3
* les démarches territorialisées (ex : PAT, ...) 
- une cartographie des gisements 
- un recensement des acteurs principaux et initiatives de l'ECi
- une identification des opportunités de développement
Le diagnostic intègre les acteurs et structures de l'ESS présentes sur le territoire.</t>
  </si>
  <si>
    <t>Nom de l'indicateur</t>
  </si>
  <si>
    <t>Unité</t>
  </si>
  <si>
    <t>Calcul / définition</t>
  </si>
  <si>
    <t>Valeur de l'indicateur satisfaisante</t>
  </si>
  <si>
    <t>Disponibilité du diagnostic</t>
  </si>
  <si>
    <t>Oui/Non</t>
  </si>
  <si>
    <t>Oui</t>
  </si>
  <si>
    <t>Portage politique</t>
  </si>
  <si>
    <t>#ETP / 100 000 habitants</t>
  </si>
  <si>
    <t>Nombre d'ETP de la collectivité dédié à la mise en œuvre de la stratégie d'économie circulaire</t>
  </si>
  <si>
    <t>Partage des bonnes pratiques</t>
  </si>
  <si>
    <t>Cohérence des plans et schémas</t>
  </si>
  <si>
    <t>Formation des agents de la CL</t>
  </si>
  <si>
    <t>Analyse des impacts de la politique EC sur les champs du développement durable</t>
  </si>
  <si>
    <t>Actualisation du plan d'action</t>
  </si>
  <si>
    <t>Date</t>
  </si>
  <si>
    <t>Années</t>
  </si>
  <si>
    <t>Engagement dans un PLPDMA</t>
  </si>
  <si>
    <t>%</t>
  </si>
  <si>
    <t>Partage du PLPDMA</t>
  </si>
  <si>
    <t>Le PLPDMA est disponible sur SINOE</t>
  </si>
  <si>
    <t>Effets de la mise en place du PLPDMA</t>
  </si>
  <si>
    <t>kg/hb/an</t>
  </si>
  <si>
    <t>Analyse des flux de déchets collectés</t>
  </si>
  <si>
    <t>kg/hab./an ; t/an</t>
  </si>
  <si>
    <t>Flux de déchets collectés (OMR et Recyclables)</t>
  </si>
  <si>
    <t>Equilibrage des tournées</t>
  </si>
  <si>
    <t>heure/tournée; tonnage/tournée</t>
  </si>
  <si>
    <t>Harmonisation du réseau de déchèteries</t>
  </si>
  <si>
    <t>#/hab</t>
  </si>
  <si>
    <t>&lt;=1 site / 15 000 hab. en zone rurale, 
&lt;=1 site / 20 000 hab. en zone semi-urbaine, 
&gt;= 1 site / 50 000 hab. en zone urbaine</t>
  </si>
  <si>
    <t>Performance des véhicules de collecte</t>
  </si>
  <si>
    <t>Expérimentation de nouveaux services</t>
  </si>
  <si>
    <t>Nombre de nouveaux services déployés</t>
  </si>
  <si>
    <t>% ou tonne/an</t>
  </si>
  <si>
    <t>Part des déchets concernés (ou impact de la mise en place de ces services sur la performance de la collectivité (baisse de la production d'OMR / DMA)</t>
  </si>
  <si>
    <t>€/km/tonne</t>
  </si>
  <si>
    <t>Performance de la collecte des flux ménagers et assimilés</t>
  </si>
  <si>
    <t>kg/hab./an ; tonnes/an</t>
  </si>
  <si>
    <t>Quantité de recyclables ménagers et assimilés collectés en PàP ou PaV</t>
  </si>
  <si>
    <t>%/an</t>
  </si>
  <si>
    <t>Sécurité de la collecte</t>
  </si>
  <si>
    <t>Taux d'accidents dans la collecte des OMR et progression annuelle</t>
  </si>
  <si>
    <t>Baisse du nombre d'accidents dans le cadre des services rendus par la collecte</t>
  </si>
  <si>
    <t>#/an</t>
  </si>
  <si>
    <t>Nombre d'actions correctives</t>
  </si>
  <si>
    <t>Sécurité de la déchèterie</t>
  </si>
  <si>
    <t>Taux d'accidents dans la déchèterie</t>
  </si>
  <si>
    <t xml:space="preserve">Nombre d'actions correctives dans la déchèterie </t>
  </si>
  <si>
    <t>Baisse du nombre d'accidents dans le cadre des services rendus par la déchèterie</t>
  </si>
  <si>
    <t>Optimisation de la quantité de déchets transportés par route</t>
  </si>
  <si>
    <t>km/BOM/jour/phase de trajet</t>
  </si>
  <si>
    <t>Distance parcourue par les bennes</t>
  </si>
  <si>
    <t>&gt; 30 km AR / phase de vidage : 1 quai de transfert requis</t>
  </si>
  <si>
    <t>Report modal du transport de déchet</t>
  </si>
  <si>
    <t>tonnes/an</t>
  </si>
  <si>
    <t>Quantité de déchets reporté de la route vers la voie d'eau/ferrée</t>
  </si>
  <si>
    <t>Somme économisée grâce à ce report modal</t>
  </si>
  <si>
    <t>Service de collecte des déchets auprès des producteurs non ménagers assimilés</t>
  </si>
  <si>
    <t>&gt;=10 entreprises au début</t>
  </si>
  <si>
    <t>&gt;=1 entreprise / an</t>
  </si>
  <si>
    <t>tonnes/flux/an</t>
  </si>
  <si>
    <t>Efficacité du prétraitement de matériaux</t>
  </si>
  <si>
    <t>Nombre d'entreprises utilisant les matériaux proposés par la collectivité.</t>
  </si>
  <si>
    <t>#/typologie/an</t>
  </si>
  <si>
    <t>Sensibilisation des acteurs aux pratiques durables</t>
  </si>
  <si>
    <t>Communication de la collectivité sur son territoire</t>
  </si>
  <si>
    <t>Suivi des flux de matières du territoire</t>
  </si>
  <si>
    <t>Un outil de calcul des flux de matières sur le territoire de la collectivité est disponible et à jour</t>
  </si>
  <si>
    <t>Cartographie des achats</t>
  </si>
  <si>
    <t>Achats durables de la collectivité</t>
  </si>
  <si>
    <t>Minimum 30%</t>
  </si>
  <si>
    <t>Gaspillage alimentaire de la collectivité</t>
  </si>
  <si>
    <t>Quantité de gaspillage alimentaire dans les restaurants publics</t>
  </si>
  <si>
    <t>France : 18% de pertes et gaspillage alimentaire</t>
  </si>
  <si>
    <t>Performance de la gestion des déchets de la collectivité</t>
  </si>
  <si>
    <t>Animation du réseau d'entreprises engagées dans l'éco-conception</t>
  </si>
  <si>
    <t>Mise en place de l'éco-conception dans les entreprises du territoire</t>
  </si>
  <si>
    <t>- papiers/cartons : 66%
- calcin : 58%
- ferrailles : 51%
- alu recyclé : 44%
- plastiques : 6,5% 
(moyenne France issue du CGDD)</t>
  </si>
  <si>
    <t>Formation à l'éco-conception</t>
  </si>
  <si>
    <t>Sensibilisation à l'EIT</t>
  </si>
  <si>
    <t>Nombre et types de communication sur l'EIT réalisées</t>
  </si>
  <si>
    <t>Implication de la collectivité dans l'EIT</t>
  </si>
  <si>
    <t>Nombre d'orientations relevant de l'EIT dans les plans de la collectivité</t>
  </si>
  <si>
    <t>Mise en place de l'EIT sur le territoire</t>
  </si>
  <si>
    <t>#ETP</t>
  </si>
  <si>
    <t>Emplois dédiés à l'animation des démarches d'EIT du territoire</t>
  </si>
  <si>
    <t>Implication de la collectivité dans l'économie de la fonctionnalité</t>
  </si>
  <si>
    <t>Nombre de démarches relevant de l'économie de la fonctionnalité mises en place sur le territoire</t>
  </si>
  <si>
    <t>Implication de partenaires dans le développement de nouveaux modèles économiques</t>
  </si>
  <si>
    <t>Engagement de la collectivité dans des projets d'innovation</t>
  </si>
  <si>
    <t>Nombre et type de moyens (hors budgétaire) alloués à des projets d'innovation sur l'économie circulaire</t>
  </si>
  <si>
    <t>Nombre de projets d'innovation sur l'économie circulaire porté par la collectivité</t>
  </si>
  <si>
    <t>Communication sur les moyens de financement innovants</t>
  </si>
  <si>
    <t>Financement de projets innovants</t>
  </si>
  <si>
    <t>€/hab.an</t>
  </si>
  <si>
    <t>Valeur de l'aide financière incitative</t>
  </si>
  <si>
    <t>4€/hab</t>
  </si>
  <si>
    <t>Part du budget de la collectivité affecté à ces projets</t>
  </si>
  <si>
    <t>Communication autour des projets innovants du territoire</t>
  </si>
  <si>
    <t>Type et nombre d'opérations de communication autour des démarches exemplaires du territoire réalisées</t>
  </si>
  <si>
    <t>Connaissance des coûts du service déchet</t>
  </si>
  <si>
    <t>Effets de la réorganisation des coûts du service déchet</t>
  </si>
  <si>
    <t>Evolution des coûts suite à la mise en place de ces actions</t>
  </si>
  <si>
    <t>Etude de la mise en place de la TI ou TEOMi</t>
  </si>
  <si>
    <t>Un document d'étude de la mise en place d'un système de tarification incitative (y compris redevance spéciale en cas de TEOM incitative) sur l'ensemble du territoire est disponible</t>
  </si>
  <si>
    <t>Mise en place de la TI ou de la TEOMi</t>
  </si>
  <si>
    <t>Expérimentation d'autres systèmes de rémunération des coûts évités</t>
  </si>
  <si>
    <t>Part de la population concernée par ces systèmes de rémunération des coûts évités</t>
  </si>
  <si>
    <t>Démarche concertée avec l'ensemble du territoire</t>
  </si>
  <si>
    <t>Incitation des citoyens à proposer des projets EC</t>
  </si>
  <si>
    <t>Dynamisme des acteurs du territoire</t>
  </si>
  <si>
    <t>Formation des relais du territoire</t>
  </si>
  <si>
    <t>Nombre de relais formés</t>
  </si>
  <si>
    <t>Sensibilisation des CL adhérentes au projet d'EC</t>
  </si>
  <si>
    <t>Part des communes couvertes par la politique Economie Circulaire concernées par une réunion de sensibilisation</t>
  </si>
  <si>
    <t>Présence d'un correspondant EC dans chacune des CL adhérentes</t>
  </si>
  <si>
    <t>Part des communes couvertes par la politique Economie Circulaire dotées d'un correspondant EC</t>
  </si>
  <si>
    <t>Actions des CL adhérentes</t>
  </si>
  <si>
    <t xml:space="preserve">Nombre de communications dans les collectivités infra </t>
  </si>
  <si>
    <t>Conventions de partenariats entre la CL et les têtes de réseaux</t>
  </si>
  <si>
    <t>Tableau des indicateurs</t>
  </si>
  <si>
    <t>Liste des indicateurs de mesure et de suivi de la performance économie circulaire</t>
  </si>
  <si>
    <t>cf 1.2 
Onglet Tableau des indicateurs</t>
  </si>
  <si>
    <t>Faciliter la mise en place de collectes pour les professionnels notamment du BTP (foncier, promotion,...)
REX Grenoble Alpes Métropole : Création de déchèteries
professionnelles sur le territoire et inter territoires. Démarche de concertation et de coordination des parties
prenantes.
Fiches REX ADEME-AMORCE et ADEME-ASTEE</t>
  </si>
  <si>
    <r>
      <t>La maîtrise des impacts sociaux et environnementaux des activités relatives à la prévention et la gestion des déchets des collectivités s'appuie sur :
* L'application et la mise en pratiques des recommandations de la CARSAT en matière de collecte des déchets ménagers et assimilés.
* L'application et la mise en pratiques des recommandations de la CARSAT en matière de gestion et exploitation des déchèteries.
* L'optimisation du transport des déchets par la route.</t>
    </r>
    <r>
      <rPr>
        <sz val="10"/>
        <color theme="1"/>
        <rFont val="Calibri"/>
        <family val="2"/>
        <scheme val="minor"/>
      </rPr>
      <t xml:space="preserve">
</t>
    </r>
  </si>
  <si>
    <t xml:space="preserve">La collectivité traite (ou soutient des opérations de traitement) des matériaux qu'elle réceptionne sur ses déchèteries et développe une offre de matériaux recyclés (granulats de bétons ou briques concassés / criblés, compost, broyats de bois, terres végétales…) pour les acteurs économiques de son territoire. </t>
  </si>
  <si>
    <t xml:space="preserve">Prétraitement de matériaux et mise à disposition des flux auprès des :
* Services techniques de la collectivité.
* Petites entreprises du territoire.
Ex : Plateforme de réemploi d'opération de déconstruction ou invendus. 
REX : déchèterie de Vendée </t>
  </si>
  <si>
    <t>La collectivité identifie les actions spécifiques visant à développer une ou plusieurs filières à enjeu sur son territoire. Elle peut s'appuyer sur des éléments de méthode définit dans l'onglet "trame filière" ou bien de manière plus spécifique s'inspirer des onglets "alimentation" ou "(dé)construction et aménagement" si elle est concernée</t>
  </si>
  <si>
    <t>La collectivité met en œuvre un plan d'actions spécifique (y compris les partenariats associés) autour d'une filière à enjeu sur son territoire. Elle peut s'appuyer sur des éléments de méthode définit dans l'onglet facultatif ou bien de manière plus spécifique s'inspirer des onglets "alimentation" ou "(dé)construction et aménagement" si elle est concernée</t>
  </si>
  <si>
    <t>Identifier et développer des boucles de l'économie circulaire à enjeu sur le territoire</t>
  </si>
  <si>
    <t>Le diagnostic de l'économie circulaire réalisé dans l'orientation 1.1 est détaillé pour les filières à enjeux identifiées sur le territoire :
- identification précise des gisements et des approvisionnements
- recensement exhaustif des acteurs et initiatives de l'EC
- identification des opportunités de développement et de partenariat (lien axe 5)</t>
  </si>
  <si>
    <t>La conciergerie solidaire, structure qui propose à la fois des services du quotidien, de sensibilisation et d’animation autour de l’économie circulaire</t>
  </si>
  <si>
    <t>Maison de services au public, lieu apportant des solutions aux particuliers et professionnels qui sont éloignés des opérateurs publics</t>
  </si>
  <si>
    <t>Les régies de quartier et de territoire, ensemble d’associations qui améliore le cadre de vie des habitants en créant des emplois et en générant du lien social</t>
  </si>
  <si>
    <t>Vidéo de la ville de Brest et Brest métropole "Commande publique durable"</t>
  </si>
  <si>
    <t xml:space="preserve">Argumentaire pour les héb. </t>
  </si>
  <si>
    <t>Guide achat de l'ADEME</t>
  </si>
  <si>
    <t xml:space="preserve">Vidéo consomag </t>
  </si>
  <si>
    <t>NB</t>
  </si>
  <si>
    <t>Le guide de notation associé à ce référentiel précise et définit dans le paragraphe 5. "Glossaire"* les éléments de langage utilisé</t>
  </si>
  <si>
    <t xml:space="preserve">Décret n° 2016-288 du 10 mars 2016 portant diverses dispositions d'adaptation et de simplification dans le domaine de la prévention et de la gestion des déchets </t>
  </si>
  <si>
    <t>Section 3 article 5 - Décret n° 2016-288 du 10 mars 2016</t>
  </si>
  <si>
    <t>-communication sur les labels environnementaux
-organisation de journées portes ouvertes  et de manifestations locales de promotion de l'activité et des métiers de la réparation
-interventions pour les scolaires, visites de déchèteries
- relai au niveau local de l'annuaire de la réparation "www.annuaire-reparation.fr" ou, en l'absence, relai des coordonnées des réparateurs locaux
- Liste des entreprises certifiées éco-label européen (http://www.ecolabels.fr/fr/recherche-avancee/categories-de-produits-ou-services-certifies)</t>
  </si>
  <si>
    <t>La collectivité fixe des prescriptions dans le règlement de son PLUi favorisant des démarches d'EIT</t>
  </si>
  <si>
    <t>Ex :  extension desserte transports en commun, mutualisation de services et d'espaces pour la zone, procédés constructifs durables, charte d'engagement environnementale..</t>
  </si>
  <si>
    <t>La collectivité accompagne, développe ou teste de nouvelles activités en matière d'économie de la fonctionnalité pour son fonctionnement interne (photocopiage consommables, transport de ses salariés...) et pour ses missions de service public (éclairage public, prévention des déchets, mutualisation d'espaces publics ou stationnements, chronotopie pour améliorer les usages de lieux ou de services…)</t>
  </si>
  <si>
    <r>
      <t xml:space="preserve">Une filière qui se structure INDEPENDEMMENT DES ENJEUX DE TEE :
− … même si les enjeux TEE sont de plus en plus structurants : contraintes réglementaires, exigences de certification, etc…
Une structuration de la filière en réponse aux évolutions REGLEMENTAIRES : 
− Enjeux forts en termes de passation des contrats, de respect des garanties, etc… : la réglementation a vocation à clarifier les responsabilités juridiques des différents acteurs de la chaîne de valeur.
− Réglementation : un moteur fort pour faire évoluer les pratiques de la profession
</t>
    </r>
    <r>
      <rPr>
        <b/>
        <sz val="10"/>
        <color theme="4"/>
        <rFont val="Calibri"/>
        <family val="2"/>
        <scheme val="minor"/>
      </rPr>
      <t xml:space="preserve">Enjeux de l'économie circulaire pour une gestion économe de l'espace et une gestion efficace des ressources dans le secteur de la construction
</t>
    </r>
    <r>
      <rPr>
        <sz val="10"/>
        <color theme="4"/>
        <rFont val="Calibri"/>
        <family val="2"/>
        <scheme val="minor"/>
      </rPr>
      <t>Les ressources les plus consommées dans le secteur de la construction, telles que le sable et les métaux, sont des ressources non renouvelables. Du fait de ces ressources extraites, transportées et transformées en quantités toujours plus élevées à des coûts énergétiques grandissants, le secteur du bâtiment a des impacts importants sur l’environnement. Face à ce constat, l’économie circulaire apporte des pistes de solutions pour réduire les impacts lors des phases de construction (extraction et transformation de la matière, chantiers), de vie en oeuvre (chauffage, électricité), mais également dans une optique de fin de vie (réemploi des matériaux ou prolongement d’usage).
&gt; Vers un approvisionnement durable en matériaux issus de l'économie circulaire
Le préalable à tout projet d’aménagement, intégrant l’analyse du cycle de vie, est de prendre en compte l’exploitation durable des ressources, en limitant les rebuts d’exploitation et l’impact sur l’environnement pour les ressources renouvelables et non renouvelables. Bien que soumis à des contraintes économiques (prix) et normatives (pourcentage de matériaux recyclés), les acteurs de la construction doivent choisir les matériaux en conséquence. Ainsi, dans l’idéal, le pré-requis pour une démarche d’économie circulaire est de privilégier des matériaux locaux, issus du réemploi, du recyclage ou biosourcés. Le choix des matériaux employés intervient également dans une réflexion sur la fin de vie afin qu’ils soient, à leur tour, réutilisables et démontables. Par ailleurs, l’objectif est de veiller à un approvisionnement durable en termes de foncier, c’est-à-dire en réduisant l’emprise au sol du projet d’aménagement et/ou en choisissant des parcelles à moindre valeur écologique pour préserver les milieux naturels et la biodiversité.
&gt; Gérer la mise en oeuvre de la construction grâce à l'ACV
L’Analyse du Cycle de Vie (ACV) permet d’évaluer les impacts environnementaux des flux de matières et d’énergie nécessaires tout au long de la vie d’un produit ou d’un service, grâce à une évaluation du coût  énergétique global (coût d’investissement et de fonctionnement). Dans le cas d’un bâtiment, cela prend en compte la phase d’extraction des matériaux pour la construction, sa mise en chantier, sa vie en oeuvre et sa déconstruction, tout en comptabilisant également les impacts du transport à chaque étape. Il s’agit en particulier de permettre la récupération des matériaux de construction à un coût environnemental moindre : l’éco-conception du bâti doit nécessairement prendre en compte la perspective de la déconstruction. Pour cela, il est nécessaire de limiter l’utilisation de certaines matières complexes, comme les alliages par exemple, ou de certains procédés comme les colles, qui rendent difficile la déconstruction, le réemploi et le recyclage de la matière.</t>
    </r>
  </si>
  <si>
    <r>
      <rPr>
        <b/>
        <sz val="8"/>
        <color theme="4"/>
        <rFont val="Calibri"/>
        <family val="2"/>
        <scheme val="minor"/>
      </rPr>
      <t>Enjeux de l'économie circulaire dans la gestion du foncier</t>
    </r>
    <r>
      <rPr>
        <sz val="8"/>
        <color theme="4"/>
        <rFont val="Calibri"/>
        <family val="2"/>
        <scheme val="minor"/>
      </rPr>
      <t xml:space="preserve">
En France, la consommation d’espace reste importante et souvent mal maîtrisée. Le phénomène d’étalement urbain conduit au développement de l’habitat diffus qui entraîne un accroissement des besoins en transport, une hausse des dépenses liées à la construction et à l’entretien des réseaux (eau, gaz, électricité, voiries, etc.) ainsi qu’une diminution des surfaces agricoles et naturelles. L’étalement urbain engendre la destruction de la biodiversité et des services écosystémiques associés, ainsi qu’une artificialisation et une pollution des sols. De ce fait, il conduit à une perte d’autonomie alimentaire alors que la préservation du foncier, destiné à l’alimentation et aux circuits courts alimentaires, correspond aujourd’hui à une attente sociétale de plus en plus forte. Encore peu abordée, la reconquête du foncier non valorisé (notamment les friches) ouvre la voie au développement de l’économie circulaire et offre ainsi des perspectives d’optimisation de la « ressource sol » notamment en maximisant l’usage du foncier, support d’une économie durable. 
&gt; Limiter la consommation de foncier et réserver du foncier pour l’économie circulaire
La limitation de l’utilisation des sols est l’un des premiers objectifs des documents d’urbanisme et de planification. Le SCoT et le PLU comportent des objectifs chiffrés (modération de la consommation de l’espace et de lutte contre l’étalement urbain, en lien avec l’analyse des dynamiques économiques et démographiques) et un véritable contrôle de la consommation de foncier et peuvent exiger des études de densification de l’existant préalables à toute ouverture de nouvelles zones à l’urbanisation.  La loi ALUR encourage également la densification des terrains grâce à un certain nombre de mesures : suppression du coefficient d’occupation des sols (COS); introduction du bonus de constructibilité depuis janvier 2016 pour les bâtiments durables ; assouplissement des changements d’usages. La pression foncière que connaissent les territoires implique toutefois de caractériser le foncier comme une ressource finie et rare intégrant en son sein la biodiversité, et nécessite, de ce fait, de réels arbitrages lors des projets d’aménagement. Les collectivités s’attachent de plus en plus à la préservation des sols dans leurs stratégies (post-carbone, agenda 21, trames vertes et bleues, etc.) et inscrivent les projets urbains dans un objectif d’usages mixtes et de proximité. La société civile, de plus en plus demandeuse d’une qualité de vie en accord avec les principes de la transition écologique et énergétique, joue également un rôle dans les arbitrages des stratégies. Les activités en lien avec l’économie circulaire sont donc aujourd’hui à considérer dans les stratégies de gestion du foncier (ex : l’installation de ressourceries qui dépend largement des coûts du foncier et requiert par conséquent des subventions publiques). 
&gt; Mobiliser  le potentiel existant en recyclant le foncier dégradé
La prise en compte du principe de recyclage associé à la gestion du foncier est une des clés pour diminuer l’utilisation du foncier « vierge ». Le recyclage peut intervenir pour la dépollution des sols (opérations de traitement des terres excavées), ou pour les matériaux de construction (matières inertes issues du gros oeuvre : béton, briques, pierres) utilisés en l’état ou après concassage. 
&gt; Maximiser l’usage du foncier grâce à la réutilisation et l’usage transitoire
Pour maximiser l’usage du foncier, il est important, dans un premier temps, de prendre en compte les principes de l’éco-conception des projets d’aménagement mais également des bâtiments et infrastructures qui occupent le foncier afin de polluer au minimum le sol (exemple : matériaux biosourcés) et d’anticiper la réversibilité (exemple : déconstructibilité des projets). Il est également indispensable d’envisager la mutabilité en fonction des évolutions des usages (exemple : diminution de la voiture). Dans un second temps, la question des usages transitoires peut servir à valoriser des friches et à utiliser le foncier de manière temporaire ou transitoire en fonction des besoins, sans se l’approprier définitivement, dans une logique de réversibilité. Les évolutions récentes du droit de l’urbanisme ont conduit à développer des outils compatibles avec le concept d’urbanisme transitoire. Les friches industrielles sont également de véritables opportunités de valorisation du bâti obsolète pour les projets d’aménagement. Par ailleurs, les occupations temporaires sont nombreuses : agriculture urbaine hors sol, espace culturel et artistique, etc.
&gt; Mutualiser l'usage et s'afranchir de la propriété
La mutualisation du foncier permet de mixer des usages (possibilité de prévoir de la mixité à l’échelle du bâtiment dans les nouveaux PLU) et favorise la mise en synergies (mutualisation de l’utilisation des parkings). Elle permet également de réduire la demande en foncier pour certaines activités indispensables dans le processus de production de la ville. Dans cet objectif, il faut anticiper et dédier des réserves foncières à l’économie circulaire et au réemploi au coeur des territoires. Ce type d’espace fait pourtant face à une problématique d’acceptabilité car il s’agit souvent de zones de stockage, perçues comme peu esthétiques et sources de nuisances. Pourtant, ces espaces sont de véritables sources de foncier pour développer des activités en relation avec l’économie circulaire. Ils peuvent être le support d’usages variés en lien avec le tri et le réemploi des matériaux, contribuant à la création de valeur et d’emplois sur le territoire. Enfin, une des perspectives pour une meilleure réversibilité du foncier est de privilégier l’usage du foncier plutôt que sa propriété (économie de la fonctionnalité). Les baux emphytéotiques notamment permettent à la collectivité de valoriser ses biens et de garantir une maîtrise foncière publique pour l’avenir. Le terrain reste la propriété du bailleur qui accorde au preneur un droit immobilier de longue durée.
</t>
    </r>
  </si>
  <si>
    <t>« Guide de l’achat public : une réponse aux enjeux climatiques » p124 à 127 , ADEME, octobre 2016
Documents élaborés dans le cadre du programme DEMOCLES (www.recylum.com/democles-2/): 
- "Guide d’accompagnement de la Maîtrise d’ouvrage et de la Maîtrise d’oeuvre. Intégration des prescriptions « Déchets » dans les CCTP et les contrats cadres de chantiers de réhabilitation lourde et de démolition", ADEME-Récylum, novembre 2017 
- Charte DEMOCLES des maîtres d'ouvrages engagés
- Synthèse et rapport du programme "LES CLES DE LA DEMOLITION DURABLE", Récylum – GTM Bâtiment – Nantet – Arès Associations, juillet 2016
- "Guide d’informations sur les filières de valorisation des déchets du second-oeuvre", ADEME, SNED, Récylum, mars 2018 
- "Ētude sur la responsabilitē de la maîtrise d’ouvrage en matiēre de dēchets", Récylum, juin 2018
Application déchets de chantiers FFB : http://www.dechets-chantier.ffbatiment.fr
"Transport fluvial, guide pour une alternative logistique durable", VNF, 2011
Boîte à outils juridiques "Intégrer un maillon fluvial dans la logistique des appels d’offres de grands chantiers", VNF, 2017 
"Intégrer le développement durable dans les achats de construction et de rénovation", RGO, février 2014 
"Guide de valorisation hors site des terres excavées issues de sites et sols potentiellement pollués dans des projets d’aménagementtechnique aménagement, MTES-BRGM-INERIS, novembre 2017
"Economie circulaire : un atout pour relever le défi de l'aménagement durable des territoires", ADEME, réf 010264, juin 2017
Grille d'état des lieux et d'évaluation d'un projet d'améngement au regard de l'économie circulaire (à venir)
"Aménager avec la nature en ville - Des idées préconçues à la caractérisation des effets environnementaux, sanitaires et économiques", ADEME, réf 8873, juin 2017
"Identification des freins et des leviers au réemploi de produits et matériaux de construction", ADEME, avril 2016
"Nouveaux systèmes constructifs démontables en rénovation ou déconstruction pour réemploi et recyclage simplifiés et attractifs des produits et matériaux (DEMODULOR)", ADEME-Réseau CTI-CERIB-FCBA-CTMNC-CTICM, juillet 2015 
"État de l'art et recommandations en matière de prévention des déchets du BTP", ADEME, octobre 2011
"Les enjeux climatiques du bâtiment. Economie circulaire, biodiversité : comment développer des solutions transversales ?", Association OREE, 2016
"Faire progresser le recyclage des éléments de second oeuvre issus des chantiers de démolition/réhabilitation", DEMOCLES
"L'urbanisme transitoire : aménager autrement", IAU Ile de France, février 2017
"Economie de la fonctionnalité et aménagement : quel référentiel au service d'un nouveau modèle de développement des territoires ?", ATEMIS, janvier 2015
"Accompagnement de l'ademe pour le renouvellement urbain : des outils pour agir", ADEME-ANRU, réf 8874, novembre 2016
"Friches urbaines polluées et développement durable", ADEME, réf 8077, février 2014
"Gestion et valorisation des déchets de chantier de construction", ADEME-ARE-BTP Haute Normandie, réf 7557, avril 2012
"Synergie TP : comment appliquer l'écologie industrielle et territoriale aux travaux publics ?", ADEME-BRGM-UTT-CEIA, 2011
Cahier technique AEU2 "Construire la ville sur elle-même", ADEME, réf 7591, juin 2015
"L'AEU2, pour une approche en coût global dans les projets d'aménagement ", ADEME, réf 8415, juin 2015
"Trame schéma d'organisation de la gestion et de l'élimination des déchets de chantiers (SOGED)", ADEME-FFB, mai 2016
Projet ASURET (vise l'amélioration des performances du secteur du BTP en réduisant l'utilisation de ressources naturelles et l'optimisation de la valorisation de matériaux recyclés), ANR-BRGM-CSTB-13 développement, etc., 2012</t>
  </si>
  <si>
    <t xml:space="preserve">www.optigede.ademe.fr/partage
Soli'bat 33 : récupération et réemploi de matériaux de chantiers et d'équipement : http://www.ademe.fr/solibat-33-recuperation-reemploi-materiaux-chantiers-dequipement-33
experimentationsurbaines.ademe.fr ; rubrique "cartographie-interactive"
Sur Plaine commune :
- programme d'aménagement mixte Néaucité à St Denis (p.74 livre blanc)
- laboratoire du réemploi de bellastock, Actlab, sur la ZAC du futur éco-quartier fluvial de l'île Saint Denis (p.75 livre blanc)
ZAC de l'union à Roubaix (p.79 livre blanc)
Recyclerie, ancienne gare d etrain de la petite ceinture de Paris (p.80 livre blanc)
Stratégie de mutualisation de la SNCF (p.81 livre blanc)
Plateforme Noé (p.37 livre blanc)
Bonnes pratiques TP, FNTP : www.bonnes-pratiques-tp.com
Expérimentations de l'ADEME sur l'économie circulaire appliquée aux projets urbains et territoriaux : experimentationsurbaines.ademe.fr
</t>
  </si>
  <si>
    <t xml:space="preserve">"Guide pratique : réduire le gaspillage alimentaire en restauration collective", ADEME, mars 2018
"Manger mieux, gaspiller moins", ADEME, décembre 2017
"Guide pratique : Favoriser une restauration collective de proximité et de qualité", DRAAF Rhône-Alpes, février 2011
"Guide pratique : Favoriser l’approvisionnement local et de qualité en restauration collective", ministère de l’Agriculture, de l’Agroalimentaire et de la Forêt, novembre 2014
"Guide pratique : pour une restauration événementielle durable", ADEME, février 2018
"Alimentation et environnement champs d'actions pour les professionnels", ADEME, octobre 2016
Recueil d'expériences "Lauréats du programme national pour l'alimentation 2016-2017", ADEME, mars 2018
"Localim : la boite à outils des acheteurs publics de restauration collective", Ministère de l’Agriculture, de l’Agroalimentaire et de la Forêt, octobre 2016
"Economie circulaire : un atout pour relever le défi de l'aménagement durable des territoires", ADEME, réf 010264, juin 2017
"Alimentation et environnement - champs d'actions pour les professionnels", ADEME, réf 8574, octobre 2016
"Système alimentaire et coopérations entre acteurs du territoire", CERDD, novembre 2015
"Territoires durables et économie de la fonctionnalité : quelle "solution intégrée" pour prendre en charge les enjeux d'alimentation-santé ?", ATEMIS, avril 2014
"Analyse des effets économiques et sociaux d’une alimentation plus durable", ADEME, avril 2018
"Avis de l’ADEME sur les circuits courts de proximité", ADEME, juin 2017 
"Etat des masses sur les pertes et gaspillages alimentaires – Etat des lieux  et leur gestion par étape de la chaîne alimentaire",  ADEME, mai 2016
Avis du CNA (Conseil National de l’Alimentation) : avis 77 sur les enjeux de la restauration collective en milieu scolaire , 2017
Quels comportements alimentaires pour demain ? Une étude du Ministère en charge de l’Agriculture et ses partenaires (Ania, CGAD, CGI, Coop de France, FCD et France Agrimer, 2017
Site dédié au gaspillage alimentaire :(vidéos, retours d'expériences, outils de com, etc.) : www.casuffitlegachis.fr
Mon Restau Responsable : présentation de la démarche (vidéo), questionnaire, nombreuses ressources et guides en ligne : www.restauration-collective-responsable.org/
Site de la FNAB dédié à la restau collective : http://www.repasbio.org/                
Un plus Bio : réseau national des cantines bios : http://www.unplusbio.org/
Manger Bio Ici et Maintenant : réseau des plate-formes bio pour la restauration collective
Vidéo de l'ARPE PACA "Une restauration collective durable : mode d'emploi " : https://www.youtube.com/watch?v=34L3yv_ZhsU&amp;feature=youtu.be
</t>
  </si>
  <si>
    <t>"Atténuer les émissions de gaz à effet de serre du secteur agricole en France : Recueil d’expériences territoriales", Réseau Action Climat France, Juin 2013
Alimentation durable et économie circulaire : l’exemple de la restauration collective de Louviers : https://www.youtube.com/watch?time_continue=4&amp;v=SPzBVKu5wsA  
Gaspillage alimentaire : https://www.youtube.com/watch?v=59FH0MkMxf4
Lutte contre le gaspillage alimentaire en collectivité, les actions du CREPAN et du SDOMODE : https://www.youtube.com/watch?v=J5jJZUk0zv8 
Expérience modèle de Mouans Sartoux : http://restauration-bio-durable-mouans-sartoux.fr/ 
Lauréats du programme national pour l'alimentation 2016/2017 : http://www.ademe.fr/laureats-programme-national-lalimentation-20162017 
Toit potager AgroParisTech
Ilimelgo et secousses à Romainville
Politique agro-écologique et alimentaire de Montpellier
Charte pour une agriculture durable en territoire périurbain de Toulouse Métropole
Régie agricole de Mouans-Sartoux restauration-bio-durable-mouans-sartoux.fr
Ourcq fertile et marché sur l'eau (p.70 www.ademe.fr/sites/default/files/assets/documents/livre-blanc-economie-circulaire-defi-amenagement-durable-territoires-010264-v1.pdf)</t>
  </si>
  <si>
    <t>La maîtrise des dépenses publiques se caractérise par la capacité de la collectivité à identifier les leviers et les freins des coûts des services en lien avec l'économie circulaire pour lesquelles elle a la maîtrise d'ouvrage. Il s'agit notamment : de la collecte et du traitement des déchets, de la conception, construction ou rénovation de bâtiment ou d'aménagement urbain, ... . Cela nécessite un suivi précis et détaillé de ces coûts, et permet in fine de mettre en place des actions optimisant ces coûts.</t>
  </si>
  <si>
    <t>- monnaie locale, monnaies complémentaires
- par exemple quand une ressourcerie met en place une collecte en PAP des encombrants qui limite les dépôts sauvages, qui coutent cher à la collectivité
- Adopter une réduction de la taxe foncière pour les ménages réalisant des rénovation performantes (REX Caen)</t>
  </si>
  <si>
    <t>appel à projets Grand Lyon "économie circulaire, zéro gaspillage" 2017 (80 000€ dédiés à des projets relevant des axes environnementaux ou économiques) 
AAP antigaspillage, achats durables, biodéchets (REX CODAH)</t>
  </si>
  <si>
    <t>La collectivité conclut des conventions de partenariats avec les "têtes  de réseaux" notamment sur les filières à enjeux identifiés dans l'axe 1 (chambres d'agriculture, CMA, CCI, Union  patronale, union des commerçants, FFB, CAPEB…).</t>
  </si>
  <si>
    <t>Réunions de sensibilisation 
Réunions de présentation de la politique Economie Circulaire  
Communication dans divers médias
ex : Sensibilisation des restaurants, hébergements touristiques, ...</t>
  </si>
  <si>
    <t>Concevoir et élaborer une démarche concertée avec l'ensemble des parties prenantes du territoire, les responsabiliser et leur donner les moyens d'agir</t>
  </si>
  <si>
    <t>Les collectivités infra (collectivités adhérentes dans le cas d’un syndicat) sont des démultiplicateurs de la politique Economie Circulaire sur leur territoire : elles animent et élargissent le périmètre d’action de la collectivité initiatrice,  et ce dans tous les domaines de l'EC</t>
  </si>
  <si>
    <t>La collectivité informe ses collectivités adhérentes de son  projet de politique Economie Circulaire  afin de s'assurer que celle-ci sera effectivement relayée et facilitée à un  niveau infra</t>
  </si>
  <si>
    <t>La collectivité organise des rencontres / tables rondes / clubs d'entrepreneurs entre les entreprises du territoire (y compris de l'ESS) afin de favoriser la mise en réseau de celles-ci, notamment sur les filières à enjeux identifiés dans l'axe 1.</t>
  </si>
  <si>
    <t>Recensement des volontaires et ateliers pour faire émerger leurs  souhaits, leurs propositions …  et dégager d'éventuelles synergies 
REX Grand Lyon : Plan Education au Développement Durable. Mise à disposition des enseignants de livrets d'apprentissage DD pour les élèves
Sensibilisation des scolaires (écoles, collèges, lycée…) sur les enjeux alimentation
Dans le cadre des OPAH, sensibiliser les propriétaires sur la nécessité de la valorisation de leurs déchets issus de leur travaux de rénovation énergétique (Cf axe 2.2 lien avec reprise des déchets par les professionnels et articulation avec déchèteries publiques)</t>
  </si>
  <si>
    <t>Comptacoût
'Evaluation dépôts sauvages et coûts associés</t>
  </si>
  <si>
    <t>Les centres de stockage du territoire et ceux utilisés par la collectivité font l'objet d'une valorisation du biogaz par cogénération ou par injection.</t>
  </si>
  <si>
    <t>L’économie circulaire implique
de mettre à contribution tous les
acteurs du territoire concernés et
de trouver de nouveaux modes
de faire pour ces acteurs qui
ont déjà l’habitude de travailler
ensemble, mais elle suppose
également d’en intégrer de
nouveaux qui n’ont pas l’habitude
d’être associés.</t>
  </si>
  <si>
    <t>Des conditions de dialogue et de suivi propices à l’intégration des contraintes de tous les gestionnaires. La gouvernance du projet doit offrir des temps d’échanges et de validation entre les concepteurs, les bâtisseurs et les futurs gestionnaires, voire les utilisateurs. Ces temps partagés visent à faire le point sur les objectifs fixés et les moyens proposés pour y parvenir, ou à arbitrer.</t>
  </si>
  <si>
    <t>Développer une démarche transversale avec l'ensemble des politiques de la collectivité</t>
  </si>
  <si>
    <t xml:space="preserve">Les politiques territoriales alimentaires demandent la mise en place d’une gouvernance intégrant l’ensemble du système d’acteurs (publics et privés), à différentes échelles et dans une vision globale autour de la production et de l’alimentation. </t>
  </si>
  <si>
    <t>Mise en place du Comité local alimentation pour le PAT</t>
  </si>
  <si>
    <t>La collectivité met en œuvre sa stratégie de communication vis-à-vis des autres communes et EPCI, partage ses bonnes pratiques, et s'implique dans le réseau des collectivités labellisées…</t>
  </si>
  <si>
    <t xml:space="preserve">La collectivité est en soutien du porteur de la démarche EIT : elle  mobilise ses réseaux d'entreprise pour les inciter à participer et mobilise également les élus, elle mobilise en interne les différents services (dev éco, DD, urbanisme, ..) </t>
  </si>
  <si>
    <t>La collectivité rassemble différents acteurs autour de l'EIT (CCI, agences de développement économique, syndicats déchets, associations d'entreprises et de zones d'activités, DREAL/DIRRECTE, etc.). La collectivité exerce un rôle de mise en réseau et de sensibilisation des acteurs de son territoire : actions de communication, ...</t>
  </si>
  <si>
    <t>La collectivité évalue son projet d'EIT annuellement sous la plateforme d'évaluation des démarches d'EIT (ELIPSE)</t>
  </si>
  <si>
    <t>La collectivité pilote et anime la démarche d'EIT : elle nomme un animateur EIT qui est en charge d'organiser des rencontres entre entreprises (visites, ateliers, ..) et d'initier l'identification des synergies. Elle cible ses actions sur les filières à enjeu de son territoire</t>
  </si>
  <si>
    <t>La collectivité encourage et/ou accompagne les entreprises à la mise en place de démarches d'éco-conception s'appuyant ou non sur un label. Elle cible ses actions d'accompagnement en matière d'éco-conception sur les filières à enjeux sur son territoire.</t>
  </si>
  <si>
    <t>La collectivité intègre l'EIT dans ses aménagements de nouvelles zones ou de zones d'activités existantes.</t>
  </si>
  <si>
    <t>La communication et les objectifs de la collectivité ont abouti à la mise en œuvre d'un ou de plusieurs projets d'EIT sur son territoire et dont elle est membre du comité de pilotage</t>
  </si>
  <si>
    <t>- Pack de formation dont une sur les techniques d'animation d'ateliers inter-entreprises (CCI-OREE-IEC)
- La collectivité peut s'appuyer sur différents outils support de gestion des données EIT : Act'if, INEX, Upcycléa, …</t>
  </si>
  <si>
    <t xml:space="preserve">L'EIT s'appuie sur l'étude des flux pour identifier et développer des synergies industrielles, substituer des flux de  matières, d'énergies et d'eaux, initier de la mutualisation de moyens et de services, du partage d'infrastructures. Une collectivité qui soutient et accompagne ce type de projet intervient à 4 stades différents :
.impulsion : mise en réseau et sensibilisation des acteurs
.orientation : indique des objectifs dans les différents plans (PDU, PLU, PCAET...)
.opération : accompagner l'animation et la mise en oeuvre des démarches, voire piloter ces démarches
.financement : analyse de flux ou recherche de synergies
</t>
  </si>
  <si>
    <r>
      <t xml:space="preserve">Soutenir et accompagner la recherche, l'innovation et </t>
    </r>
    <r>
      <rPr>
        <b/>
        <sz val="11"/>
        <color indexed="9"/>
        <rFont val="Calibri"/>
        <family val="2"/>
      </rPr>
      <t>l'expérimentation</t>
    </r>
  </si>
  <si>
    <t xml:space="preserve">Création d'une structure dédiée à l'économie circulaire
Projet agriculture urbaine
</t>
  </si>
  <si>
    <t>La collectivité met à disposition  des moyens hors budgétaire (locaux, équipements, matière première…) pour un ou des projets de recherche et/ou d'innovation sur l'économie circulaire.</t>
  </si>
  <si>
    <r>
      <t>La collectivité permet d'introduire des règles en matière d'urbanisation pour favoriser certaines solutions innovantes</t>
    </r>
    <r>
      <rPr>
        <sz val="10"/>
        <color indexed="8"/>
        <rFont val="Calibri"/>
        <family val="2"/>
      </rPr>
      <t/>
    </r>
  </si>
  <si>
    <t>Prêt de locaux de façon permanente ou temporaire, à destination d'initiatives citoyennes et associatives sur le sujet de l'économie circulaire.</t>
  </si>
  <si>
    <t>Bonifier le droit à contruire pour les projets exemplaires (ex : matériaux, performance bâtiment, règlement urbanisme PLUi pour favoriser réemploi des matériaux avec variantes dans les marchés)</t>
  </si>
  <si>
    <t>Communication autour des familles Zéro Déchets (la réduction des  quantités gaspillées, l'achat en vrac, l'amélioration gestion durée de vie des produits, permet ainsi de privilégier la qualité de l'alimentation et la santé : local-bio-….)
- Conseil PTRE</t>
  </si>
  <si>
    <t>Une baisse effective des DMA et de la part de déchets organiques encore présente dans les OMR sont constatées.</t>
  </si>
  <si>
    <t>La collectivité a étudié ou étudie les dispositifs techniques de tri à la source des biodéchets les plus adaptées aux spécificités de son territoire.</t>
  </si>
  <si>
    <t xml:space="preserve">La collectivité porte un (ou des) projet(s) de recherche et/ou d'innovation sur ses filières prioritaires. </t>
  </si>
  <si>
    <t>La collectivité est impliquée dans le développement de projets de recherche et/ou d'innovation sur l'économie circulaire (financier, technique, prêts salles et matériels, logistique, ..). Si la collectivité n'est pas en régie, elle appuie des demandes de participation de prestataires à des travaux de recherche.</t>
  </si>
  <si>
    <t>Nombre d'opérations collectives (groupe de dirigeants de TPE/PME) et de projets individuels accompagnés</t>
  </si>
  <si>
    <t>Rencontrer de manière régulière les principaux producteurs de déchets du territoire</t>
  </si>
  <si>
    <t>La collectivité crée du lien avec les acteurs économiques du territoire pour favoriser les démarches de réduction et une meilleure valorisation des déchets de tout type</t>
  </si>
  <si>
    <t>* La collectivité travaille dans la durée avec les entreprises de la grande distribution de son territoire pour contribuer à la réduction des déchets ménagers et assimilés.
* La collectivité organise des forums ou des ateliers thématiques avec les entreprises pour les sensibiliser aux enjeux de la prévention et de la gestion des déchets.
* La collectivité propose des services aux usagers avec des équipements et outillages d'entreprises de son territoire (ex : prestations de broyage à domicile de déchets verts avec des broyeurs d'une entreprise locale)
* favoriser le traitement des biodéchets sur son territoire, la collectivité facilite la mise en relation des gros producteurs de biodéchets agricoles, industriels et les ménages (dans le cadre des gisements qu'elle collecte). 
rapprochement avec PHENIX par exemple
La collectivité peut soutenir à des démarches de gestion collective de déchets auprès d'entreprises de son territoire (via association de zone, groupement d'entreprises, démarche EIT, …)</t>
  </si>
  <si>
    <t>La collectivité a réalisé et déploie un plan d'actions (en lien avec le plan de prévention) comportant des actions dédiées ou en synergie avec les entreprises de son territoire. Ce plan implique les associations de consommateurs et environnementales en lien avec la distribution pour encourager la réduction des déchets ménagers.</t>
  </si>
  <si>
    <t>La collectivité forme les acteurs de son territoire à une consommation durable et aux achats responsables (elle-même ou en partenariat avec la Région, les CCI, les chambres consulaires…). 
Les attentes et les besoins par cible (ex : consommateur) sont détaillées : se nourrir, se déplacer, habiter, se divertir. Pour les entreprises : acheter des matières premières, acheter des services, faire livrer ses produits, faciliter la mobilité de ses collaborateurs...</t>
  </si>
  <si>
    <t>La  collectivité  informe les entreprises  (via notamment les "têtes de réseaux") de son projet de politique Economie Circulaire  afin  d'identifier et d'accompagner des entreprises qui proposeront et réaliseront des actions qui s'incriront dans cette politique</t>
  </si>
  <si>
    <t>La consommation responsable et durable correspond à un engagement civique actif en vue de la qualité de vie des citoyens, mais aussi en faveur de la collectivité dans son ensemble. La consommation responsable doit en effet conduire l'acheteur, qu'il soit un acteur économique (privé ou public) ou citoyen consommateur à effectuer son choix en prenant en compte les impacts environnementaux à toutes les étapes du cycle de vie du produit, mais également à s'interroger sur son réel besoin.</t>
  </si>
  <si>
    <t>Une charte "Achats responsables" est en cours de finalisation par le MTES. Elle pourra être utilisée.</t>
  </si>
  <si>
    <t>autres exemples dans la filière BTP : intégrer l'aspect ressource dès la conception d'une infrastructure (AMO éco-conception), réfléchir également aux matériaux recylclés ou biosourcés, techniques constructives avec exemplarité en TP (ex : éviter déblais-remblais sur zones d'aménagement)…
Achat de produits écolabellisés</t>
  </si>
  <si>
    <t>La collectivité signe une charte achats durables ou est labellisée "Relations fournisseurs et achats responsables".</t>
  </si>
  <si>
    <t>La collectivité fixe des orientations et des objectifs clairs dans ses différents plans ou démarches territoriales (démarche d'AEU, démarche d'EIT, objectifs de report modal dans le PDU, objectifs d'aménagement du territoire via les PLU, schémas territoriaux (PLPDMA, PCAET, ...), etc. Ceux-ci sont conformes ou compatibles aux orientations et aux objectifs établis régionalement (SRDEII, PRPGD, PRAEC, SRADDET, S3 ...)</t>
  </si>
  <si>
    <t>La collectivité sensibilise le personnel des établissements de restauration collective au gaspillage alimentaire et met en œuvre des actions de réduction du gaspillage alimentaire.</t>
  </si>
  <si>
    <t xml:space="preserve">Un diagnostic du gaspillage alimentaire est réalisé dans tous les établissements publics de restauration collective </t>
  </si>
  <si>
    <t>La collectivité a évalué la part des déchets collecté par le service public qui ne sont pas issus des ménages (déchets des professionnels et des administrations). Elle mesure le nombre de visites des professionnels en déchèteries. La collectivité a fixé un seuil de prise en charge des déchets assimilés.</t>
  </si>
  <si>
    <t>Nombre de visites des professionnels en déchèteries</t>
  </si>
  <si>
    <t>Les déchets résiduels d'OMr et assimilés de la collectivité sont traités dans une UIOM sur son territoire ou pour combler un vide de four d'une installation proche.</t>
  </si>
  <si>
    <t>matrice des coûts saisie et validée annuellement
Communication sur les coûts de la collectivité dan le rapport du maire</t>
  </si>
  <si>
    <t>Les postes de charges et de recettes ont été analysés dans le détail pour identifier les marges d'optimisation. Si cela est nécessaire, la collectivité a étudié une réorganisation possible des coûts.</t>
  </si>
  <si>
    <t>La collectivité anime (elle-même ou en partenariat avec la Région, les CCI, les chambres consulaires, les associations environnementales…) ou participe à l'animation d'un réseau d'entreprises, afin d'impulser une dynamique d'engagement de celles-ci dans les démarches d'éco-conception ou d'éco-innovation</t>
  </si>
  <si>
    <t>La collectivité met à disposition des solutions de tri à la source des biodéchets adaptées aux spécificités de son territoire</t>
  </si>
  <si>
    <t>Les biodéchets (déchets alimentaires et déchets verts) font l'objet d'une valorisation matière et/ou énergétique (pf de compostage ou unité de méthanisation)</t>
  </si>
  <si>
    <t>Les refus sont valorisés de manière appropriée (UTOM ou ISDND si pas d'UTOM)</t>
  </si>
  <si>
    <t>la plateforme de compostage dispose d'une certification (ex: label ASQA) ou alors le compost produit est conforme à la norme NFU 44-051</t>
  </si>
  <si>
    <t xml:space="preserve">La part de déchets organiques dans les OMR est en baisse </t>
  </si>
  <si>
    <t>Unité de méthanisation</t>
  </si>
  <si>
    <t>L'unité de méthanisation produit du digestat de bonne qualité, valorisé localement.</t>
  </si>
  <si>
    <t>La production d’électricité et de chaleur en kWh produit à partir de biodéchets pour l'ensemble du territoire (ménages et activités économiques, agricoles...) est en augmentation ou à défaut la part de déchets organiques encore présente dans les OMR est en baisse</t>
  </si>
  <si>
    <t>* La suppression de la collecte en sac pour les OMR</t>
  </si>
  <si>
    <t>La collectivité / les exploitants d'installation de traitement de déchets prennent en compte et limitent les nuisances olfactives générées par les activités réalisées.</t>
  </si>
  <si>
    <t>La collectivité se rapproche de l'ADEME ou de son conseil régional afin de réaliser, dans le cadre du rôle de planificateur de ces acteurs, une étude de comparaison des modalités de traitement des déchets (par le biais d'une ACV par exemple).</t>
  </si>
  <si>
    <t>L'ADEME a mis à dispostion des recommandations sur l'organisation de la collecte : schémas harmonisés et couleurs des contenants associés (mai 2016)</t>
  </si>
  <si>
    <t>La collectivité met en place sur son territoire l'extension des consignes de tri à l'habitant sur l'ensemble des emballages ménagers et des papiers graphiques</t>
  </si>
  <si>
    <t>Article 70 LTECV</t>
  </si>
  <si>
    <t>Elle travaille à l'optimisation de ce réseau d'installations en aménageant les équipements pour répondre aux nouveaux besoins logistiques (accueil des DEEE, Meubles, DDS,...). en particulier, elle communique pour éviter la présence de polluants type PCB dans les conteneurs à huile.</t>
  </si>
  <si>
    <t>La collectivité intègre des critères sociaux et environnementaux dans ses marchés les plus importants en volume (principales opportunités et marchés à forts enjeux)  :
-en maîtrise d'ouvrage et sur les appels d'offre d'aménagement du territoire / d'architecture / de déconstruction et de rénovation ;
-les marchés portant sur la restauration collective (approvisionnements bio, locaux…) ;
-les marchés portant sur les autres fournitures de la collectivité (matériel de bureaux, produits ménagers, jardins, papier...).
La collectivité intègre également des critères relatifs à un approvisionnement plus durable dans les prestations alimentaires occassionnelles de la collectivité (séminaires, réunions etc...) notamment produits locaux, bios, de qualité...</t>
  </si>
  <si>
    <r>
      <rPr>
        <b/>
        <sz val="11"/>
        <color theme="4"/>
        <rFont val="Calibri"/>
        <family val="2"/>
        <scheme val="minor"/>
      </rPr>
      <t>Une filière très large
- La filère agro-alimentaire comporte de très nombreux acteurs, de la production agricole à la consommation en passant par la transformation, la distribution et les transports.Auxquels s'ajoutent en transverse, les fournisseurs d'engrais et de services mais aussi les instituts de recherche comme l'INRA-l'Institut de l'élevage et les autres centres techniques mais aussi les labels, les coopératives, les organisations professionnelles, les banques, ...
Une « META-FILIERE » qui englobe de multiples SOUS-FILIERES
- Derrière la « méta filière alimentaire » se cachent de multiples sous-filières, avec leur propre jeu d’acteurs et leur chaîne de valeur (ex : filière fruits &amp; légumes, filière viande bovine, filière plats préparés…)
- Il est plus facile de raisonner à l’échelle des sous-filières : elles offrent des clés d’entrée plus facilement appréhendables.
Des chaînes d’acteurs marquées par des DESEQUILIBRES 
- Un déséquilibre majeur entre la PRODUCTION (plusieurs dizaines de milliers d’exploitations agricoles) et la DISTRIBUTION (4 plateformes principales qui concentrent la valeur, même si des circuits alternatifs émergent parallèlement : AMAP…)
- TRANSFORMATION : l’essentiel de la valeur est capté par une dizaine de grands groupes agroalimentaires.
- CONSOMMATION : Une évolution des modes de consommation avec davantage de repas hors foyers (restauration rapide/ produits transformés)
Une filière qui se structure à DIFFERENTES ECHELLES :</t>
    </r>
    <r>
      <rPr>
        <sz val="11"/>
        <color theme="4"/>
        <rFont val="Calibri"/>
        <family val="2"/>
        <scheme val="minor"/>
      </rPr>
      <t xml:space="preserve">
- NIVEAU INTERNATIONAL : Dynamiques Import / Export, Présence des groupes IAA sur les marchés internationaux, ...
- NIVEAU NATIONAL :  Etats généraux de l’alimentation (juin 2017), Comité Stratégique de Filière (CSF) Alimentation 
- NIVEAU REGIONAL / LOCAL : Filière alimentaire priorisée dans les SRDEII (schémas régionaux dév éco, innovation et internationalisation), Comité Stratégique de Filière régional (CSFR) Alimentation, Circuits courts / vente directe, ...
</t>
    </r>
    <r>
      <rPr>
        <b/>
        <sz val="11"/>
        <color theme="4"/>
        <rFont val="Calibri"/>
        <family val="2"/>
        <scheme val="minor"/>
      </rPr>
      <t>Une filière qui ne se structure PAS EN REPONSE AUX ENJEUX TEE : la filière alimentation existe en dehors de l’alimentation durable.</t>
    </r>
    <r>
      <rPr>
        <sz val="11"/>
        <color theme="4"/>
        <rFont val="Calibri"/>
        <family val="2"/>
        <scheme val="minor"/>
      </rPr>
      <t xml:space="preserve">
- Malgré des initiatives très positives en faveur de la TEE et des dynamiques de structuration autour de contrats structurants et labels (AOC - Appellation d’Origine Contrôlée, AB - Agriculture Bio)…
-  … il n’y a pas encore de basculement systémique : échec du plan Ecophyto 2018, retard du bio dans la restauration collective, trop faible prise en compte des GES dans les choix d’investissements etc.</t>
    </r>
  </si>
  <si>
    <t>Nombre de déchèteries avec zone de réemploi par habitant</t>
  </si>
  <si>
    <t>tonnages de produits détournés vers le réemploi (via recyclerie-via zone de réemploi en déchetteries)</t>
  </si>
  <si>
    <t>La collectivité a écrit son règlement de collecte et a défini les différents seuils relatifs aux services proposés (quantité maxi des assimilés, seuils d'acceptation des pros en déchèterie, coûts de collecte des pros, etc.) en conformité avec le code général des collectivités fixant les limites du SPPGD et en respectant les règles de non-concurrence déloyale.
Le cas échéant, la collectivité a ajusté/supprimé un ou plusieurs de ses services pour se conformer au code général des collectivités et pour respecter les règles de non-concurrence déloyale (ex: collecte spécifique des cartons commerciaux pour les seuls commerçants, collecte des biodéchets des professionnels sans initier celle des ménages, etc.).</t>
  </si>
  <si>
    <t>La collectivité oriente les professionnels et leur propose l'ensemble des solutions de traitement de leurs déchets disponibles sur le territoire, y compris si ces solutions sont hors de leur périmètre SPPGD (renvoi vers les solutions privées)</t>
  </si>
  <si>
    <t>Pour les EPCI, les diagnostics réalisés dans le cadre des PLPDMA peuvent être une première base. 
Les filières à enjeu le plus souvent identifiées de manière territorialisée sont : construction et aménagement, alimentation, bois, tourisme, ….Cf axe3.1 avec illustrations sur filière (dé)construction et alimentation.
L'identification des acteurs peut se faire sous forme cartographique.
Un acteur du territoire dit principal dès lors qu'il a un impact fort sur l'empoi, la consommation de ressource, les réseaux et les infrastructures, ...</t>
  </si>
  <si>
    <t>La part des déchets entrants issus de la collecte séparée (en AV ou en PAP) diminue sur les 5 dernières années</t>
  </si>
  <si>
    <t>La "qualité" de la politique économie circulaire de la collectivité dépend de sa capacité à suivre, évaluer et adapter les plans d'actions des différents programmes (PCAET, PLPDMA, PDU, ...) contribuant à la démarche Economie Circulaire et leurs résultats. Pour cela, la collectivité doit mettre en oeuvre des outils de reporting, quantifier les résultats obtenus et adapter régulièrement les actions envisagées.</t>
  </si>
  <si>
    <t>Mettre en place un cycle de formation sur l'économie circulaire, suivre le nombre de personnes formées… Insérer la thématique de l'Economie Circulaire dans les orientations stratégiques de formation et des sessions de formation dans le plan pluriannuel de formation interne de l'EPCI</t>
  </si>
  <si>
    <t>Une instance de la collectivité regroupant des représentants des services impliqués dans la démarche (a minima services déchets, urbanisme et développement économique)  se réunit régulièrement sur la thématique de l'économie circulaire pour partager l'avancement, prévoir de nouvelles actions... Le chef de projet  Label ECi et des membres de son équipe font partie de cette instance.</t>
  </si>
  <si>
    <t>Le Programme Local de Prévention des Déchets Ménagers et Assimilés d'un territoire constitue la passerelle d'accès à une démarche élargie de déploiement d'une économie circulaire. La collectivité acquiert le plus souvent par cette première expérience le réflexe de la concertation avec les acteurs locaux et du consensus autour d'un document de programmation local, les actions constituant le  PLP DMA. Cela suppose le plus souvent une capacité pour la collectivité à :
* Inscrire dans le temps un tel programmes d'actions (pilotage et suivi des actions).
* S'approprier le guide méthodoloigique PLPDMA de l'ADEME.
* Evaluer les actions déployées et leurs effets.
* Elaborer un bilan et co-construire un nouveau cycle pour les années à venir (principe de l'amélioration continue).</t>
  </si>
  <si>
    <t>un axe du PLPDMA consiste en la :
- réduction des déchets du BTP (Favoriser le réemploi de matériaux de bâtiment en lien avec les déchets assimilés) - Ex : recycleries, SMICVAL Market ou Solbat33
- mobilisation de tous les acteurs pour la lutte contre le gaspillage alimentaire (Cf axe 5)</t>
  </si>
  <si>
    <t xml:space="preserve">La collectivité a engagé des actions de prévention et de sensibilisation auprès des professionnels qui utilisent le Service Public de Gestion des Déchets (SPGD). Elle informe les usagers professionnels sur l'obligation de reprise et sa qualité et sur le tri 5 flux, en orientant vers les services privés s'ils existent. Elle assure une  articulation entre l'offre des professionnels et les déchèteries publiques. </t>
  </si>
  <si>
    <t>Les sites de traitement des déchets sont labellisés type ISO (processus d'amélioration continue). La triple certification (ISO 9001, 14001 ou 50001, 18001) est obtenue pour tous les sites.</t>
  </si>
  <si>
    <t>Les acheteurs de la collectivité sont formés à l'économie circulaire et connaissent les critères socieux et environnementaux pertinents pour les marchés gérés.</t>
  </si>
  <si>
    <t>Mettre en place une démarche de gouvernance globale sur l'ensemble du territoire</t>
  </si>
  <si>
    <t>Un document cadre de la stratégie économie circulaire est prévu suivant un calendrier et une organisation définis. Il s'appuiera sur le diagnostic territorial établi. Il sera complété par un plan d'actions prévisionnel décrivant les actions prévus, les moyens humains et financiers qui permettront de le mettre en oeuvre. Ainsi, un budget et des moyens spécifiques dédiés au projet sur la durée ont été identifiés.</t>
  </si>
  <si>
    <t>La démarche EC s'inscrit dans le projet de territoire et fait l'objet d'une délibération de l'EPCI. Elle prévoit de s'articuler avec les autres schémas et plans stratégiques de la collectivité en cours de rédaction (ex. : PCAET, développement économique, aménagement et planification du territoire, numérique… en fonction du type et des enjeux du territoire).</t>
  </si>
  <si>
    <t>La collectivité a instauré des nouveaux services en s'assurant de leur efficience et pertinence sur le territoire (ex. : mise en place de la collecte séparée des biodéchets, réintroduction de la consigne pour réemploi...).</t>
  </si>
  <si>
    <r>
      <rPr>
        <sz val="11"/>
        <color theme="4"/>
        <rFont val="Calibri"/>
        <family val="2"/>
        <scheme val="minor"/>
      </rPr>
      <t xml:space="preserve">En agriculture et sur le sujet de l’alimentation, l'économie circulaire peut s’illustrer sur chacun des 3 domaines : </t>
    </r>
    <r>
      <rPr>
        <b/>
        <sz val="11"/>
        <color theme="4"/>
        <rFont val="Calibri"/>
        <family val="2"/>
        <scheme val="minor"/>
      </rPr>
      <t>évolution de l’offre</t>
    </r>
    <r>
      <rPr>
        <sz val="11"/>
        <color theme="4"/>
        <rFont val="Calibri"/>
        <family val="2"/>
        <scheme val="minor"/>
      </rPr>
      <t xml:space="preserve">, </t>
    </r>
    <r>
      <rPr>
        <b/>
        <sz val="11"/>
        <color theme="4"/>
        <rFont val="Calibri"/>
        <family val="2"/>
        <scheme val="minor"/>
      </rPr>
      <t>évolution de la demande, gestion des déchets</t>
    </r>
    <r>
      <rPr>
        <sz val="11"/>
        <color theme="4"/>
        <rFont val="Calibri"/>
        <family val="2"/>
        <scheme val="minor"/>
      </rPr>
      <t xml:space="preserve">.
</t>
    </r>
    <r>
      <rPr>
        <b/>
        <sz val="11"/>
        <color theme="4"/>
        <rFont val="Calibri"/>
        <family val="2"/>
        <scheme val="minor"/>
      </rPr>
      <t>1. Evolution de l'offre</t>
    </r>
    <r>
      <rPr>
        <sz val="11"/>
        <color theme="4"/>
        <rFont val="Calibri"/>
        <family val="2"/>
        <scheme val="minor"/>
      </rPr>
      <t xml:space="preserve">
Concernant l’offre alimentaire, il s’agit principalement de répondre à la demande des consommateurs en préservant les ressources, notamment les sols, l’eau et les écosystèmes.
- L’agriculture intègre les principes de l’économie circulaire en s’appuyant sur des modes de production </t>
    </r>
    <r>
      <rPr>
        <b/>
        <sz val="11"/>
        <color theme="4"/>
        <rFont val="Calibri"/>
        <family val="2"/>
        <scheme val="minor"/>
      </rPr>
      <t>en cohérence avec les principes de l'agroécologie</t>
    </r>
    <r>
      <rPr>
        <sz val="11"/>
        <color theme="4"/>
        <rFont val="Calibri"/>
        <family val="2"/>
        <scheme val="minor"/>
      </rPr>
      <t xml:space="preserve"> : ceux-ci, en valorisant les ressources naturelles, en réassociant cultures et élevage, et en visant la diversification des cultures et des rotations, rebouclent et recouplent les cycles de l'azote et du carbone, et aboutissent à une activité biologique des sols plus riche et une moindre consommation d'intrants. 
- le secteur agricole constitue également un pilier de l’économie circulaire au travers de la production et transformation de biomasse alimentaire et non alimentaire, en intégrant l</t>
    </r>
    <r>
      <rPr>
        <b/>
        <sz val="11"/>
        <color theme="4"/>
        <rFont val="Calibri"/>
        <family val="2"/>
        <scheme val="minor"/>
      </rPr>
      <t>es questions de concurrence d’usage des sols et de préservation de leurs qualités</t>
    </r>
    <r>
      <rPr>
        <sz val="11"/>
        <color theme="4"/>
        <rFont val="Calibri"/>
        <family val="2"/>
        <scheme val="minor"/>
      </rPr>
      <t xml:space="preserve"> (productive, stockage de C…).
- D’autres aspects telles que l’économie de la fonctionnalité, émergent dans le secteur alimentaire, tant au stade de la transformation que de la distribution 
</t>
    </r>
    <r>
      <rPr>
        <b/>
        <sz val="11"/>
        <color theme="4"/>
        <rFont val="Calibri"/>
        <family val="2"/>
        <scheme val="minor"/>
      </rPr>
      <t xml:space="preserve">2. Evolution de la demande </t>
    </r>
    <r>
      <rPr>
        <sz val="11"/>
        <color theme="4"/>
        <rFont val="Calibri"/>
        <family val="2"/>
        <scheme val="minor"/>
      </rPr>
      <t xml:space="preserve">
Concernant la demande alimentaire , l’économie circulaire s’illustre par une consommation alimentaire responsable qui se traduit par : des régimes alimentaires adaptés, une réduction du gaspillage alimentaire, des achats responsables (réduction des emballages, autant que possible choix de produits de saison, issus de circuits de proximité durables : voir schéma ci-contre), un rapprochement des consommateurs et des producteurs. 
</t>
    </r>
    <r>
      <rPr>
        <b/>
        <sz val="11"/>
        <color theme="4"/>
        <rFont val="Calibri"/>
        <family val="2"/>
        <scheme val="minor"/>
      </rPr>
      <t>3. Gestion des déchets</t>
    </r>
    <r>
      <rPr>
        <sz val="11"/>
        <color theme="4"/>
        <rFont val="Calibri"/>
        <family val="2"/>
        <scheme val="minor"/>
      </rPr>
      <t xml:space="preserve">
Quant à la gestion des déchets, le secteur agro-alimentaire peut mettre en œuvre l’économie circulaire à travers la valorisation des déchets et des co-produits, principalement organiques : méthanisation et compostage de bio-déchets, apports organiques en fertilisation et amendement des cultures…
</t>
    </r>
    <r>
      <rPr>
        <b/>
        <sz val="11"/>
        <color theme="4"/>
        <rFont val="Calibri"/>
        <family val="2"/>
        <scheme val="minor"/>
      </rPr>
      <t xml:space="preserve"> 
L’échelle territoriale est primordiale pour la connaissance et la mobilisation des ressources</t>
    </r>
    <r>
      <rPr>
        <sz val="11"/>
        <color theme="4"/>
        <rFont val="Calibri"/>
        <family val="2"/>
        <scheme val="minor"/>
      </rPr>
      <t xml:space="preserve">, mais également l’échelle des filières, car les actions s’intègrent dans une chaîne agro-alimentaire mobilisant des acteurs multiples en interaction. 
Dans un contexte où l’alimentation durable s’inscrit dans l’évolution sociétale et les enjeux d’aujourd’hui et demain, </t>
    </r>
    <r>
      <rPr>
        <b/>
        <sz val="11"/>
        <color theme="4"/>
        <rFont val="Calibri"/>
        <family val="2"/>
        <scheme val="minor"/>
      </rPr>
      <t>les projets alimentaires territoriaux (PAT) visent à recréer des liens entre production agricole du territoire et consommation locale</t>
    </r>
    <r>
      <rPr>
        <sz val="11"/>
        <color theme="4"/>
        <rFont val="Calibri"/>
        <family val="2"/>
        <scheme val="minor"/>
      </rPr>
      <t>, permettant là aussi la mise en œuvre de l’économie circulaire.</t>
    </r>
  </si>
  <si>
    <r>
      <t>L'alimentation durable doit répondre au besoin primaire fondamental de</t>
    </r>
    <r>
      <rPr>
        <i/>
        <sz val="11"/>
        <color theme="4"/>
        <rFont val="Calibri"/>
        <family val="2"/>
        <scheme val="minor"/>
      </rPr>
      <t xml:space="preserve"> </t>
    </r>
    <r>
      <rPr>
        <b/>
        <i/>
        <sz val="11"/>
        <color theme="4"/>
        <rFont val="Calibri"/>
        <family val="2"/>
        <scheme val="minor"/>
      </rPr>
      <t>nourrir les hommes, en qualité et en quantité, aujourd’hui et demain</t>
    </r>
    <r>
      <rPr>
        <sz val="11"/>
        <color theme="4"/>
        <rFont val="Calibri"/>
        <family val="2"/>
        <scheme val="minor"/>
      </rPr>
      <t>. Elle constitue un enjeu porteur de valeurs économiques mais aussi environnementales, sociales et sanitaires. L’alimentation durable constitue aussi un formidable outil d’émergence et de diffusion de projets collectifs autour d’une valeur fédératrice tant pour les citoyens-consommateurs que pour les acteurs des territoires. L'ADEME a identifié 3 enjeux majeurs pour l'alimentation :
- L’alimentation durable est source de valeur ajoutée (économique, emploi) pour les acteurs des filières ; l’économie circulaire en est un des maillons (préservation des ressources, valorisation des co-produits, méthanisation….)
- Il est essentiel que le consommateur redonne de la valeur (économique mais aussi en terme de sens…) à son alimentation (le juste prix / la juste rémunération doit « circuler » du consommateur jusqu’au producteur…)
- L’alimentation durable est un pilier de l’économie circulaire à l’échelle des territoires – il s’agit d’un enjeu collectif, porteur d’échange, de synergie, de valeurs communes (développement de systèmes alimentaires territoriaux – lien production / transformation / consommation sur les territoires mais aussi emploi, patrimoine, attrait touristique, qualité de vie…)</t>
    </r>
  </si>
  <si>
    <t>Si le montant annuel des achats de la collectivité dépasse 100 millions d'euros, la collectivité adopte un Schéma de Promotion des Achats Publics Socialement et Ecologiquement Responsables (SPASER)</t>
  </si>
  <si>
    <t>3.2 Etre éco-exemplaire</t>
  </si>
  <si>
    <t>décret n°2015-90 du 28 janvier 2015</t>
  </si>
  <si>
    <t>article 13 de la loi ESS</t>
  </si>
  <si>
    <r>
      <t xml:space="preserve">Achats publics responsables pour la restauration collective pour les établissements publics : crèches, enseignement (primaire, collège, lycée), établissements de santé, restaurants de la collectivité, etc. </t>
    </r>
    <r>
      <rPr>
        <sz val="10"/>
        <rFont val="Calibri"/>
        <family val="2"/>
        <scheme val="minor"/>
      </rPr>
      <t>Axe 3.3</t>
    </r>
    <r>
      <rPr>
        <sz val="10"/>
        <color theme="9"/>
        <rFont val="Calibri"/>
        <family val="2"/>
        <scheme val="minor"/>
      </rPr>
      <t xml:space="preserve">
Action de lutte contre le gaspillage alimentaire dans ces établissements publics </t>
    </r>
    <r>
      <rPr>
        <sz val="10"/>
        <rFont val="Calibri"/>
        <family val="2"/>
        <scheme val="minor"/>
      </rPr>
      <t>Axe 2.1</t>
    </r>
  </si>
  <si>
    <r>
      <rPr>
        <sz val="10"/>
        <color theme="9"/>
        <rFont val="Calibri"/>
        <family val="2"/>
        <scheme val="minor"/>
      </rPr>
      <t xml:space="preserve">Mise en place de solutions de collecte sélective des biodéchets des professionnels </t>
    </r>
    <r>
      <rPr>
        <sz val="10"/>
        <rFont val="Calibri"/>
        <family val="2"/>
        <scheme val="minor"/>
      </rPr>
      <t>Axe 2.3 et 2.5</t>
    </r>
    <r>
      <rPr>
        <sz val="10"/>
        <color theme="1"/>
        <rFont val="Calibri"/>
        <family val="2"/>
        <scheme val="minor"/>
      </rPr>
      <t xml:space="preserve">
</t>
    </r>
    <r>
      <rPr>
        <sz val="10"/>
        <color theme="5"/>
        <rFont val="Calibri"/>
        <family val="2"/>
        <scheme val="minor"/>
      </rPr>
      <t xml:space="preserve">Action de sensibilisation au tri des biodéchets dans les structures de restauration privées </t>
    </r>
    <r>
      <rPr>
        <sz val="10"/>
        <rFont val="Calibri"/>
        <family val="2"/>
        <scheme val="minor"/>
      </rPr>
      <t>Axe 2.5</t>
    </r>
  </si>
  <si>
    <r>
      <t xml:space="preserve">Soutien au développement d'une solution de mise en relation entre producteurs et/ou transformateurs et/ou restaurateurs et/ou consommateurs </t>
    </r>
    <r>
      <rPr>
        <sz val="10"/>
        <rFont val="Calibri"/>
        <family val="2"/>
        <scheme val="minor"/>
      </rPr>
      <t xml:space="preserve">Axe 3.1
</t>
    </r>
    <r>
      <rPr>
        <sz val="10"/>
        <color theme="9"/>
        <rFont val="Calibri"/>
        <family val="2"/>
        <scheme val="minor"/>
      </rPr>
      <t>Mise en place d'un Programme Alimentaire Territorial (PAT)</t>
    </r>
    <r>
      <rPr>
        <sz val="10"/>
        <rFont val="Calibri"/>
        <family val="2"/>
        <scheme val="minor"/>
      </rPr>
      <t xml:space="preserve"> Axe 3.3</t>
    </r>
  </si>
  <si>
    <r>
      <t xml:space="preserve">Action de lutte contre le gaspillage alimentaire dans la restauration collective 
</t>
    </r>
    <r>
      <rPr>
        <sz val="10"/>
        <rFont val="Calibri"/>
        <family val="2"/>
        <scheme val="minor"/>
      </rPr>
      <t xml:space="preserve">Axe 2.1
</t>
    </r>
    <r>
      <rPr>
        <sz val="10"/>
        <color theme="9"/>
        <rFont val="Calibri"/>
        <family val="2"/>
        <scheme val="minor"/>
      </rPr>
      <t>Sensibilisation à l'alimentation durable</t>
    </r>
    <r>
      <rPr>
        <sz val="10"/>
        <rFont val="Calibri"/>
        <family val="2"/>
        <scheme val="minor"/>
      </rPr>
      <t xml:space="preserve">
Axe 5.1 ?
</t>
    </r>
    <r>
      <rPr>
        <sz val="10"/>
        <color theme="5"/>
        <rFont val="Calibri"/>
        <family val="2"/>
        <scheme val="minor"/>
      </rPr>
      <t xml:space="preserve">Action sociale auprès des publics défavorisés autour de l'accès à l'alimentation
</t>
    </r>
    <r>
      <rPr>
        <sz val="10"/>
        <rFont val="Calibri"/>
        <family val="2"/>
        <scheme val="minor"/>
      </rPr>
      <t>Axe 5.1</t>
    </r>
  </si>
  <si>
    <r>
      <t xml:space="preserve">Création et soutien aux points de ventes (marchés locaux, …)
</t>
    </r>
    <r>
      <rPr>
        <sz val="10"/>
        <rFont val="Calibri"/>
        <family val="2"/>
        <scheme val="minor"/>
      </rPr>
      <t>Axe 3.7 et 4.3</t>
    </r>
  </si>
  <si>
    <r>
      <t xml:space="preserve">Création / maintien de zones pour les usines et la transformation
</t>
    </r>
    <r>
      <rPr>
        <sz val="10"/>
        <rFont val="Calibri"/>
        <family val="2"/>
        <scheme val="minor"/>
      </rPr>
      <t>Axe 3.7 et 4.3</t>
    </r>
  </si>
  <si>
    <r>
      <rPr>
        <b/>
        <sz val="11"/>
        <color theme="4"/>
        <rFont val="Calibri"/>
        <family val="2"/>
        <scheme val="minor"/>
      </rPr>
      <t>Enjeux de l'économie circulaire dans la gestion du foncier</t>
    </r>
    <r>
      <rPr>
        <sz val="11"/>
        <color theme="4"/>
        <rFont val="Calibri"/>
        <family val="2"/>
        <scheme val="minor"/>
      </rPr>
      <t xml:space="preserve">
En France, la consommation d’espace reste importante et souvent mal maîtrisée. Le phénomène d’étalement urbain conduit au développement de l’habitat diffus qui entraîne un accroissement des besoins en transport, une hausse des dépenses liées à la construction et à l’entretien des réseaux (eau, gaz, électricité, voiries, etc.) ainsi qu’une diminution des surfaces agricoles et naturelles. L’étalement urbain engendre la destruction de la biodiversité et des services écosystémiques associés, ainsi qu’une artificialisation et une pollution des sols. De ce fait, il conduit à une perte d’autonomie alimentaire alors que la préservation du foncier, destiné à l’alimentation et aux circuits courts alimentaires, correspond aujourd’hui à une attente sociétale de plus en plus forte. Encore peu abordée, la reconquête du foncier non valorisé (notamment les friches) ouvre la voie au développement de l’économie circulaire et offre ainsi des perspectives d’optimisation de la « ressource sol » notamment en maximisant l’usage du foncier, support d’une économie durable. 
&gt; Limiter la consommation de foncier et réserver du foncier pour l’économie circulaire
&gt; Mobiliser le potentiel existant en recyclant le foncier dégradé
&gt; Maximiser l’usage du foncier grâce à la réutilisation et l’usage transitoire
&gt; Mutualiser l'usage et s'affranchir de la propriété</t>
    </r>
  </si>
  <si>
    <t>POINTS TOTAUX BASE</t>
  </si>
  <si>
    <t>POINTS TOTAUX MEO</t>
  </si>
  <si>
    <t>POINTS TOTAUX EFFET</t>
  </si>
  <si>
    <t>POINTS ACTIONS BASE</t>
  </si>
  <si>
    <t>POINTS ACTIONS EFFET</t>
  </si>
  <si>
    <t>POINTS ACTIONS MEO</t>
  </si>
  <si>
    <t>NB ACTIONS BASE</t>
  </si>
  <si>
    <t>NB ACTIONS MEO</t>
  </si>
  <si>
    <t>NB ACTIONS EFFET</t>
  </si>
  <si>
    <t>Intitulé de l'action</t>
  </si>
  <si>
    <t>Type d'action</t>
  </si>
  <si>
    <t>Poids de l'action</t>
  </si>
  <si>
    <t>N° action</t>
  </si>
  <si>
    <t>Les éléments suivants sont disponibles : 
- une identification des orientations et des objectifs établis régionalement dans les documents de planification (SRDEII, PRPGD, PRAEC, SRADDET, S3 ...)
- une cartographie des principaux flux entrants, sortants et internes au territoire
- une caractérisation des filières à enjeu 
- une cartographie des gisements 
- un recensement des acteurs principaux et initiatives de l'ECi
- une identification des opportunités de développement</t>
  </si>
  <si>
    <t>Disponibilité et validation du document stratégique</t>
  </si>
  <si>
    <t>Pilotage technique interne</t>
  </si>
  <si>
    <t>Autre indicateur possible</t>
  </si>
  <si>
    <t>Référent ADEME</t>
  </si>
  <si>
    <t>Un tableau de calcul reprenant les éléments suivants est disponible :
- Les quantités de déchets valorisées et évitées ;
- Les ressources épargnées grâce à la stratégie d'EC mise en place ;
- Les émissions de GES évitées, les économies d'énergie réalisées ;
- Nombre d'établissements/activités contribuant à l'économie circulaire sur le territoire ;
- Nombre d'emplois créés et potentiel de création d'emplois, % d'emplois dédiés à l'économie circulaire ;
- Suivi de la localisation des dépenses de la collectivité / du syndicat ;
- Pouvoir d'achat des ménages.</t>
  </si>
  <si>
    <t>Actions déployées</t>
  </si>
  <si>
    <t>Reconduction du PLPDMA</t>
  </si>
  <si>
    <t>Date de la dernière reconduction du dernier PLPDMA</t>
  </si>
  <si>
    <t>Un critère de performance est intégré dans les appels d'offres concernant la gestion du parc de véhicules en fin de vie : taux de réutilisation et de valorisation du centre VHU par exemple</t>
  </si>
  <si>
    <t>Part du personnel ayant suivi une formation sur les pratiques durables</t>
  </si>
  <si>
    <t>Au moins 20% pour chaque catégorie de personnel</t>
  </si>
  <si>
    <t>Pilotage et animation de l'EIT sur le territoire</t>
  </si>
  <si>
    <t>Présence et complétude d'une matrice des coûts</t>
  </si>
  <si>
    <t>en RI : 100% des ménages facturés individuellement ou à l'immeuble + 100% non ménages usagers
en TEOMi : 
seuil de RS fonction de la typologie du territoire
100% des ménages + 100% non ménages usagers "petits producteurs" imposés à la TEOMi + 100% non ménages usagers "gros producteurs" en RS</t>
  </si>
  <si>
    <t>Part du budget engagé dans le 1% déchet</t>
  </si>
  <si>
    <t>Nombre de participants formés via les formations-actions</t>
  </si>
  <si>
    <t xml:space="preserve">Réunions de travail avec les têtes de réseaux pour définir les modes de collaboration
</t>
  </si>
  <si>
    <t>% de la population desservie en collecte des emballages ménagers et des papiers graphiques selon un des schémas harmonisés recommandés par l'ADEME et avec les couleurs des contenants associés.</t>
  </si>
  <si>
    <t>Harmonisation du dispositif de tri</t>
  </si>
  <si>
    <t>dispositif harmonisé effectif sur tout le territoire en 2025</t>
  </si>
  <si>
    <t>Tonnes</t>
  </si>
  <si>
    <t>Quantité d'objets collectés, valorisés et évités grâce aux déchetteries</t>
  </si>
  <si>
    <t>Nombre de déchèteries acceptant les DDS, les DEE et le mobilier</t>
  </si>
  <si>
    <t>Part des chauffeurs formés à l'écoconduite</t>
  </si>
  <si>
    <t>Dispositif de tri à la source</t>
  </si>
  <si>
    <r>
      <t xml:space="preserve">Rapport d'étude préalable à la mise en place d'un dispositif de tri à la source
</t>
    </r>
    <r>
      <rPr>
        <i/>
        <sz val="10"/>
        <color theme="1"/>
        <rFont val="Calibri"/>
        <family val="2"/>
        <scheme val="minor"/>
      </rPr>
      <t>Si l'étude a déjà eu lieu :</t>
    </r>
    <r>
      <rPr>
        <sz val="10"/>
        <color theme="1"/>
        <rFont val="Calibri"/>
        <family val="2"/>
        <scheme val="minor"/>
      </rPr>
      <t xml:space="preserve"> % de la population disposant d'une solution pour trier ses biodéchets</t>
    </r>
  </si>
  <si>
    <t>Visite des professionnels en déchèteries</t>
  </si>
  <si>
    <t>Passage en C0,5</t>
  </si>
  <si>
    <t>A minima 50% du parc renouvelé en motorisation alternative</t>
  </si>
  <si>
    <t>Evolution de la valorisation matière et organique des DMA</t>
  </si>
  <si>
    <t>évolution du % de valorisation matière et organique des DMA, en comparaison avec la moyenne nationale de 39% (2011)</t>
  </si>
  <si>
    <t>55% (meilleur score Cit'ergie 2014)
Rappel des objectifs nationaux (article 541-1 Code de l'environnement) : *Réduction de 50% des quantités de déchets mis en décharge d’ici 2025
*Recyclage de 55 % des déchets non dangereux en 2020, de 65 % en 2025</t>
  </si>
  <si>
    <t>Présence d'un rapport d'étude ou d'une étude territoriale biodéchets (démarche CONCERTO)</t>
  </si>
  <si>
    <t>Tri à la source des biodéchets</t>
  </si>
  <si>
    <t>kg/an</t>
  </si>
  <si>
    <t>Tonnages de déchets verts collectés chez l'habitant et tonnage de biodéchets alimentaires collectés chez les gros producteurs</t>
  </si>
  <si>
    <t>Valorisation des biodéchets</t>
  </si>
  <si>
    <t xml:space="preserve">Les biodéchets (déchets alimentaires et déchets verts) font l'objet d'une valorisation matière et/ou énergétique </t>
  </si>
  <si>
    <t>Production de biogaz</t>
  </si>
  <si>
    <t>kWh/an</t>
  </si>
  <si>
    <t>Quantité de biogaz produit et valorisé en injection ou en cogénération</t>
  </si>
  <si>
    <t>Production de digestat</t>
  </si>
  <si>
    <t>Quantité de digestat produit</t>
  </si>
  <si>
    <t>Part du digestat utilisé localement (dans un rayon &lt;20km)</t>
  </si>
  <si>
    <t>Valorisation des refus</t>
  </si>
  <si>
    <t>Quantité de refus valorisé en UTOM ou ISDND si pas d'UTOM</t>
  </si>
  <si>
    <t>Production d'énergie à partir des biodéchets</t>
  </si>
  <si>
    <t>Evolution sur les 5 dernières années de la quantité d'énergie (électricité ou chaleur) produite à partir des biodééchets du territoire</t>
  </si>
  <si>
    <t>Traitement des déchets résiduels d'OMR et assimilés</t>
  </si>
  <si>
    <t>Quantités de déchets résiduels d'OMR et assimilés de la collectivité traités dans une UIOM sur le territoire</t>
  </si>
  <si>
    <t>Déchets entrants issus de la collecte séparée</t>
  </si>
  <si>
    <t>Part des déchets entrants contenant des matériaux faisant l'objet de collecte séparée</t>
  </si>
  <si>
    <t>&lt;5%</t>
  </si>
  <si>
    <t>Valorisation énergétique</t>
  </si>
  <si>
    <t>Valorisation mâchefers</t>
  </si>
  <si>
    <t>Quantité de mâchefers envoyés en plateforme de maturation</t>
  </si>
  <si>
    <t>Valorisation mâchefers filière TP</t>
  </si>
  <si>
    <t>Part de mâchefers (en masse) valorisés dans une filière TP</t>
  </si>
  <si>
    <t>Performance énergétique de l'UIOM</t>
  </si>
  <si>
    <t>Traitement dans une installation de stockage aux dernières normes en vigueur</t>
  </si>
  <si>
    <t>L'installation de stockage dans laquelle sont traités les flux résiduels d'OMR répond aux dernières normes en vigueur.</t>
  </si>
  <si>
    <t>Evolution des émissions biogaz en phase exploitation</t>
  </si>
  <si>
    <t>Evolution sur les 5 dernières années du taux de captage de biogaz</t>
  </si>
  <si>
    <t>Valorisation énergétique du biogaz</t>
  </si>
  <si>
    <t>Valorisation énergétique du biogaz (production de chaleur, cogénération ou injection dans le réseau gaz)</t>
  </si>
  <si>
    <t>&gt; 75%</t>
  </si>
  <si>
    <t>Quantité de lixiviats captés et traités</t>
  </si>
  <si>
    <t>Gestion des lixiviats</t>
  </si>
  <si>
    <t>Performance des centres de démantèlement</t>
  </si>
  <si>
    <t>Part du poids entrant en centre de démantèlement qui est orienté vers des filières de réutilisation</t>
  </si>
  <si>
    <t>&gt; 20%</t>
  </si>
  <si>
    <t>Diminution des refus de tri</t>
  </si>
  <si>
    <t>Evolution des taux de refus de tri par rapport à l'année précédente</t>
  </si>
  <si>
    <t>Formation du personnel</t>
  </si>
  <si>
    <t>Part du personnel de l'unité de tri ou du centre de démantèlement formé à la prévention et au recyclage des déchets</t>
  </si>
  <si>
    <t>Suivi de la politique de compostage</t>
  </si>
  <si>
    <t>Des indicateurs de suivi de la politique de compostage témoignant des performances de la collectivité (ex : nombre de composteurs individuels distribués, nb de sites collectifs en pied d'immeuble, taux de participation de la population à la collecte sélective des biodéchets, etc,)</t>
  </si>
  <si>
    <t>Part des déchets entrants issus de la collecte séparée</t>
  </si>
  <si>
    <t>Valorisation des jus</t>
  </si>
  <si>
    <t>Quantité de jus récupérés et traités</t>
  </si>
  <si>
    <t>Compost local</t>
  </si>
  <si>
    <t>Quantité de refus valorisés de manière appropriée</t>
  </si>
  <si>
    <t>Déchets organiques dans les OMR</t>
  </si>
  <si>
    <t>Evolution de la part des déchets organiques dans les OMR</t>
  </si>
  <si>
    <t>Baisse</t>
  </si>
  <si>
    <t>Quantité de compost utilisé localement (&lt;20 km) par les agriculteurs</t>
  </si>
  <si>
    <t>Tous les sites de traitement des déchets de la collectivité sont certifiés ISO 14001 (ou 50001), 9001 et 18001</t>
  </si>
  <si>
    <t>Certification ISO</t>
  </si>
  <si>
    <t>Gestion des nuisances olfactives</t>
  </si>
  <si>
    <t>Une procédure de traitement des plaintes est opérationnelle et efficace. Des opérations "odorantes" sont réalisées dès que possible lorsque les conditions météorologiques sont favorables.</t>
  </si>
  <si>
    <t>Installation de dispositif de traitement des odeurs, diffusion de produits neutralisant
Santé perçue : Evaluation des impacts de la gestion des déchets, Mai 2016, ADEME</t>
  </si>
  <si>
    <t xml:space="preserve">Suivi du taux  de pathologies susceptibles d’être en lien avec le fonctionnement des installations </t>
  </si>
  <si>
    <t>Suivi des performances de la collecte</t>
  </si>
  <si>
    <t>Suivi des impacts sanitaires de la collecte</t>
  </si>
  <si>
    <t>Suivi des accidents</t>
  </si>
  <si>
    <t>Suivi environnemental</t>
  </si>
  <si>
    <t>Etude de comparaison des modalités de traitement des déchets</t>
  </si>
  <si>
    <t>Une étude de comparaison des modalités de traitement des déchets (par le biais d'une ACV par exemple) a été réalisée</t>
  </si>
  <si>
    <t>Suivi du taux d'atteinte des objectifs fixés dans la LTECV</t>
  </si>
  <si>
    <t>Suivi du taux de Troubles Musculo-Squelettiques chez les ripeurs</t>
  </si>
  <si>
    <t>Suivi des taux d'accidents de la collecte et du traitement des déchets</t>
  </si>
  <si>
    <t>Nombre d'entreprises acquittant la RS ou bénéficiant d'un service de collecte de la collectivité</t>
  </si>
  <si>
    <t>Tonnages collectés par la collectivité auprès d'entreprises / Tonnages issus d'entreprises acquittant la RS</t>
  </si>
  <si>
    <t>Quantité de matériaux apportée et reprise par les entreprises</t>
  </si>
  <si>
    <t>Nombre de communications réalisées hors du territoire (réunions, présentations, forums, …) pendant une année</t>
  </si>
  <si>
    <t>Nombre de réseaux (régionaux ou nationaux) d'économie circulaire dans lesquels la collectivité est impliquée</t>
  </si>
  <si>
    <t>Les autres plans et schémas font mention à la stratégie EC de la collectivité</t>
  </si>
  <si>
    <t>Nombre d'indicateurs communs entre les divers plans et schémas de le présent catalogue EC</t>
  </si>
  <si>
    <t>Le plan pluriannuel de formation de l'EPCI intègre des sessions de formation sur la thématique de l'économie circulaire</t>
  </si>
  <si>
    <t>Nombre d'agents formés</t>
  </si>
  <si>
    <t>Suivi de la stratégie EC</t>
  </si>
  <si>
    <t>Reporting du suivi réalisé</t>
  </si>
  <si>
    <t xml:space="preserve">Un tableau de suivi de la stratégie EC de la collectivité est disponible, regroupant des indicateurs sur l'ensemble des politiques interagissant avec la stratégie Eci
</t>
  </si>
  <si>
    <t>Un bilan annuel est rédigé, reprenant les indicateurs de suivi de l'EC</t>
  </si>
  <si>
    <t>Date de la dernière actualisation du plan d'actions</t>
  </si>
  <si>
    <t>Actualisation du plan d'actions</t>
  </si>
  <si>
    <t>Durée d'actualisation moyenne entre 2 plans d'actions</t>
  </si>
  <si>
    <t xml:space="preserve">
Nombre de services impliqués dans l'instance</t>
  </si>
  <si>
    <t>Date d'engagement de la collectivité dans un PLPDMA</t>
  </si>
  <si>
    <t>Part de la population du territoire couverte par un PLPDMA</t>
  </si>
  <si>
    <t>Quantités annuelles produites OMR, OMA et DMA et évolution sur les 5 dernières années</t>
  </si>
  <si>
    <t>OMR &lt; 120 kg/hb/an
OMA &lt; 240 kg/hb/an
DMA &lt; 480 kg/hb/an
LTECV :  réduction des quantités DMA de 10% entre 2010 et 2020</t>
  </si>
  <si>
    <t>La cartographie des achats de la collectivité est disponible</t>
  </si>
  <si>
    <t>Identification d'opportunités</t>
  </si>
  <si>
    <t>Nombre d'opportunités identifiées pour introduire des piliers de l'EC dans les achats de la collectivité</t>
  </si>
  <si>
    <t>Consommation de papier bureautique</t>
  </si>
  <si>
    <t>Un plan de prévention contre la consommation excessive de papier bureautique est en place</t>
  </si>
  <si>
    <t>Nombre d'actions d'animation / d'évènements organisés</t>
  </si>
  <si>
    <t>Nombre de personnes sensibilisées</t>
  </si>
  <si>
    <t>Sensibilisation aux activités de réparation</t>
  </si>
  <si>
    <t>Nombre de campagnes de communication réalisées sur le territoire</t>
  </si>
  <si>
    <t xml:space="preserve"> Le lien de l'annuaire national de la réparation ou, en l'absence, coordonnées des réparateurs est présent sur le contenu du site Internet de la Collectivité et/ou de ses supports de communication</t>
  </si>
  <si>
    <t>Evolution des déchets des établissements publics sur les 3 dernières années. L'auditeur peut réaliser un entretien avec les acheteurs</t>
  </si>
  <si>
    <t>Part des achats de matériels de seconde main dans la commande annuelle totale. L'auditeur peut réaliser un entretien avec les acheteurs</t>
  </si>
  <si>
    <t>Nombre d'entreprises impliquées dans le réseau d'éco-conception</t>
  </si>
  <si>
    <t>Nombre de formations dispensées par an</t>
  </si>
  <si>
    <t>Part de matériaux recyclés intégrés dans les processus industriels / de transformation</t>
  </si>
  <si>
    <t>Nombre d'entreprises titulaires d'écolabels (NF environnement ou Ecolabel Européen)</t>
  </si>
  <si>
    <t>Nombre de formations proposées sur le sujet de l'éco-conception</t>
  </si>
  <si>
    <t>Nombre d'apprentis et  stagiaires sur le sujet de l'éco-conception</t>
  </si>
  <si>
    <t>Nombre de rencontres réalisées</t>
  </si>
  <si>
    <t>Nombre de synergies réalisées et impacts environnementaux et sociaux</t>
  </si>
  <si>
    <t>Nombre de partenariats développés avec des acteurs du territoire pour réfléchir sur de nouveaux modèles économiques</t>
  </si>
  <si>
    <t>Fréquence des échanges / réunions avec ces acteurs</t>
  </si>
  <si>
    <t>Nombre d'évènements organisés en collaboration avec la communauté de l'entrepreneuriat social</t>
  </si>
  <si>
    <t>Nombre de projets d'innovation soutenus par la collectivité</t>
  </si>
  <si>
    <t>Un espace est dédié aux moyens de financement innovants sur le site internet de la CL</t>
  </si>
  <si>
    <t>Un chargé de développement économique est compétent sur le sujet et sensibilise (colloques, intervention dans les entreprises, communications dans les médias locaux...)</t>
  </si>
  <si>
    <t>Une concertation amont pour co-construire le projet d'EC a été mise en place</t>
  </si>
  <si>
    <t>Diversité du public touché par la démarche de concertation</t>
  </si>
  <si>
    <t>Catégories d'acteurs représentés (élus, habitants particuliers, entreprises, associations...) et nombre de participants par catégorie</t>
  </si>
  <si>
    <t>Nombre total de participants sensibilisés à la politique d'EC du territoire, au travers des réunions de sensibilisation organisées</t>
  </si>
  <si>
    <t>Une campagne de communication a été réalisée dans divers médias</t>
  </si>
  <si>
    <t>Sensibilisation à la politique d'EC</t>
  </si>
  <si>
    <t>Nombre de projets d'EC portés par les acteurs du territoire, réalisés ou en cours de réalisation</t>
  </si>
  <si>
    <t>Tenue d'une réunion annuelle</t>
  </si>
  <si>
    <t>Nombre de conventions signées</t>
  </si>
  <si>
    <t>Partage de données de la collectivité vers les entreprises</t>
  </si>
  <si>
    <t>Les données collectées et les cartographies réalisées dans le cadre de la politique EC sont effectivement transmises par la CL aux entreprises et têtes de réseaux.</t>
  </si>
  <si>
    <t>Engagement des entreprises dans l'EC</t>
  </si>
  <si>
    <t>Indicateur le plus pertinent</t>
  </si>
  <si>
    <t>°</t>
  </si>
  <si>
    <t>Le document cadre de la stratégie économie circulaire est disponible et a été adopté par la collectivité lors d'une délibération</t>
  </si>
  <si>
    <t>Communication avec les institutions</t>
  </si>
  <si>
    <t xml:space="preserve">La collectivité identifie l'ensemble des acteurs à associer à la démarche/au projet et leur compétences :
- BLOC DE COMPÉTENCES ÉTAT/RÉGION (Santé, justice, sécurité, équilibre territorial)
- BLOC COMMUNAL/INTERCOMMUNAL (Administration, voirie, environnement, cadre de vie, économie, équipements)
- GESTIONNAIRES (Bailleurs, syndics, voirie, énergie, transports, approvisionnement en eau)
- ORGANISMES (Entreprises/prestataires, commerces et services, associations)
- CITOYENS </t>
  </si>
  <si>
    <t>La Collectivité met en place des rencontres et des espaces de dialogue pour assurer des coopérations entre les acteurs de différents territoires ou secteurs d’activité. Il est important de prendre en compte l’échelle d’influence du projet pour coordonner les initiatives dans la conception et la mise en oeuvre.</t>
  </si>
  <si>
    <t>Nombre de réunions opérationnelles annuelles</t>
  </si>
  <si>
    <t>Durée des tournées et quantité de déchets collectés en une tournée</t>
  </si>
  <si>
    <t>Etat des lieux du potentiel d'optimisation de la valorisation énergétique</t>
  </si>
  <si>
    <t>Si la configuration territoriale le permet, une étude sur les possibilités de réduction de la quantité de déchets transportés par route a été réalisée</t>
  </si>
  <si>
    <t>Si la configuration territoriale le permet, une étude sur la pertinence de la mise en place d'un centre de transfert a été réalisée</t>
  </si>
  <si>
    <t>Etude sur le report modal du transport de déchet</t>
  </si>
  <si>
    <t>Etude sur l'optimisation de la quantité de déchets transportés par route</t>
  </si>
  <si>
    <t>Collecte auprès des entreprises</t>
  </si>
  <si>
    <t>Une étude sur la mise en place de la RS a été réalisée</t>
  </si>
  <si>
    <t>Plan d'actions auprès des entreprises</t>
  </si>
  <si>
    <t>Nombre d'actions / typologie / an planifiées et déployées</t>
  </si>
  <si>
    <t>Date de signature du contrat d'objectifs ou un contrat d'aide au changement de comportement</t>
  </si>
  <si>
    <t>Part de marchés avec des clauses environnementales (%) (indicateur Cit'ergie)</t>
  </si>
  <si>
    <t>Identification des filières à enjeux</t>
  </si>
  <si>
    <t>Le diagnostic de l'économie circulaire réalisé dans l'orientation 1.1 est détaillé pour au moins 2 filières à enjeux sur le territoire. Les gisements sont identifiés, les acteurs recensés et enfin des opportunités de développement et de partenariat ont été identifiés. L'auditeur peut lire ce diagnostic</t>
  </si>
  <si>
    <t>Plan d'action pour les filières à enjeux</t>
  </si>
  <si>
    <t>Le plan d'action pour les filières à enjeux identifiées dans l'action de base est présenté, détaillé et en cours de mise en œuvre</t>
  </si>
  <si>
    <t>Critères sur les marchés de la collectivité</t>
  </si>
  <si>
    <t>Reconnaissance achats durables</t>
  </si>
  <si>
    <t>La charte achats durables ou la labellisation est présentée à l'auditeur</t>
  </si>
  <si>
    <t xml:space="preserve">Nombre de réunions sur la dynamique régionale et locale en faveur de la réparation </t>
  </si>
  <si>
    <t xml:space="preserve">Nombre de Repair Cafés organisés par an </t>
  </si>
  <si>
    <t>Formations à la réparation</t>
  </si>
  <si>
    <t>Fréquence de parution d'articles (via journaux ou site internet) sur le sujet</t>
  </si>
  <si>
    <t>Formation des acteurs du territoire à la consommation durable</t>
  </si>
  <si>
    <t>Sensibilisation à la sobriété</t>
  </si>
  <si>
    <t>Concrétisation de l'EIT</t>
  </si>
  <si>
    <t>L'animateur EIT est inscrit sur la plateforme ELIPSE. La synthèse des résultats de sa démarche est disponible.</t>
  </si>
  <si>
    <t>Evaluation de la démarche d'EIT</t>
  </si>
  <si>
    <t>Sensibilisation à l'économie de la fonctionnalité</t>
  </si>
  <si>
    <t>Nombre d'actions de sensibilisation réalisées</t>
  </si>
  <si>
    <t>Accompagnement des entreprises à l'économie de la fonctionnalité</t>
  </si>
  <si>
    <t>Les coûts complets et coûts aidés pour l'ensemble des flux, par flux et par étape technique, sont disponibles</t>
  </si>
  <si>
    <t xml:space="preserve">Taux de bâtiment construit ou rénové ayant une étude coût complet </t>
  </si>
  <si>
    <t>La collectivité suit les indicateurs et coûts développés dans le "Référentiel national des coûts du service public de prévention et de gestion des déchets" (ADEME)</t>
  </si>
  <si>
    <t>Veille active sur les moyens de financement</t>
  </si>
  <si>
    <t>Le chargé de développement économique connait les moyens de financement les plus adéquats pour développer et porter des projets d'économie circulaire (entretien entre l'auditeur et le chargé de développement économique)</t>
  </si>
  <si>
    <t>La collectivité engage une part de ses ressources sur des actions de coopération internaionale (promotion de l'économie circulaire dans les pays du Sud avec le 1% déchet)</t>
  </si>
  <si>
    <t>1% déchet</t>
  </si>
  <si>
    <t>Nombre total de participants aux réunions sensibilisés</t>
  </si>
  <si>
    <t>Sensibilisation des entreprises au projet EC du territoire</t>
  </si>
  <si>
    <t>Nombre d'entreprises du territoire effectivement engagées dans l'EC</t>
  </si>
  <si>
    <t>Axe 2 : DEVELOPPEMENT DES SERVICES DE REDUCTION, COLLECTE ET VALORISATION DES DECHETS</t>
  </si>
  <si>
    <t xml:space="preserve">Directive cadre sur les déchets du 19 novembre 2008
</t>
  </si>
  <si>
    <t>Axe 3 : DEPLOIEMENT DES AUTRES PILIERS DE L'ECONOMIE CIRCULAIRE DANS LES TERRITOIRES</t>
  </si>
  <si>
    <t>Axe 4 : OUTILS FINANCIERS DU CHANGEMENT DE COMPORTEMENT</t>
  </si>
  <si>
    <t>Axe 5 : COOPERATION et ENGAGEMENT</t>
  </si>
  <si>
    <t>Plan d'action</t>
  </si>
  <si>
    <t>Non</t>
  </si>
  <si>
    <t>Si pas de réseau d'acheteurs DD sur le territoire</t>
  </si>
  <si>
    <t>Etre éco-exemplaire et acheter responsable</t>
  </si>
  <si>
    <t>Nb actions</t>
  </si>
  <si>
    <t>Commentaires</t>
  </si>
  <si>
    <t>si budget &lt;100 M€</t>
  </si>
  <si>
    <t>Points obtenus (en % du total de points du référentiel</t>
  </si>
  <si>
    <t>- Se rendre dans les onglets saumon correspondants aux 5 axes ;
- Pour chaque action, renseignez en colonne M le taux de complétude de l'action (0% : action non réalisée; 100% : action totalement réalisée) ;
- Les calculs sont réalisés automatiquement. Vous pouvez suivre les notes obtenues dans l'onglet gris "Note finale".</t>
  </si>
  <si>
    <t>Note par axe</t>
  </si>
  <si>
    <r>
      <t xml:space="preserve">- Ce tableur est réservé à une utilisation par les collectivités (EPCI à compétences déchets), par leurs conseillers ou auditeurs.
- Toute diffusion à une tierce personne devra préalablement faire l'objet d'une demande auprès de l'ADEME, sur </t>
    </r>
    <r>
      <rPr>
        <sz val="10"/>
        <color theme="4"/>
        <rFont val="Arial"/>
        <family val="2"/>
      </rPr>
      <t>www.optigede.ademe.fr/demarche-territoriale-economie-circulaire</t>
    </r>
    <r>
      <rPr>
        <sz val="10"/>
        <rFont val="Arial"/>
        <family val="2"/>
      </rPr>
      <t xml:space="preserve"> </t>
    </r>
  </si>
  <si>
    <r>
      <t xml:space="preserve">- </t>
    </r>
    <r>
      <rPr>
        <b/>
        <sz val="10"/>
        <rFont val="Arial"/>
        <family val="2"/>
      </rPr>
      <t xml:space="preserve">Avant toute chose, il est nécessaire de remplir le tableau des caractéristiques de la collectivité ci-dessous. </t>
    </r>
    <r>
      <rPr>
        <sz val="10"/>
        <rFont val="Arial"/>
        <family val="2"/>
      </rPr>
      <t>En effet, le poids de chaque action est calculé en fonction des caractéristiques du territoire en prenant en compte les éventuelles réductions de potentiel de points (ex : pour les syndicats ou en l'absence de compétence développement économique).</t>
    </r>
  </si>
  <si>
    <t>- Réductions de potentiel de points : Les marges d'actions des collectivités sont parfois réduites du fait de délégation de compétences, du contexte territorial, des possibilités règlementaires… Pour ne pas pénaliser injustement la collectivité, il est possible de réduire le potentiel de points dédiés à une orientation. Cette réduction est automatiquement prise en compte dans la notation en fonction du remplissage du tableau "Caractéristiques de la collectivité" ci-dessous.</t>
  </si>
  <si>
    <t>Type d'actions</t>
  </si>
  <si>
    <t>Présente les actions à mettre en place obligatoirement pour prétendre à une reconnaissance (car relevant de la réglementation). L'onglet présente également les décrets associés aux actions concernées.</t>
  </si>
  <si>
    <t>- Les onglets bleu appelés FILIERE tels que "(Dé)Construction et aménagement" et vert "Alimentation" correspondent à des exemples de filières pouvant être à enjeu sur le territoire. Ils donnent des exemples d'actions pouvant être mises en place pour illustrer la notion de boucle locale d'économie circulaire évoquée dans l'axe 3.1. Ces deux onglets ne font pas l'objet d'une notation. Ils permettent d'adopter à la fois une entrée filières à enjeux et une entrée par piliers de l'économie circulaire.</t>
  </si>
  <si>
    <r>
      <rPr>
        <b/>
        <sz val="10"/>
        <color theme="4"/>
        <rFont val="Calibri"/>
        <family val="2"/>
        <scheme val="minor"/>
      </rPr>
      <t xml:space="preserve">
&gt; SITES INTERNET </t>
    </r>
    <r>
      <rPr>
        <sz val="10"/>
        <color theme="4"/>
        <rFont val="Calibri"/>
        <family val="2"/>
        <scheme val="minor"/>
      </rPr>
      <t xml:space="preserve">
BAZED, Nobatek, plateforme qui réunit un ensemble de ressources sur la démontabilité des bâtiments : www.bazed.fr
IMATERIO, Sned, plateforme qui met en relation des professionnels du BTP détendeurs et demandeurs de matériaux : www.imaterio.fr
SOLDATING, hesus, plateforme favorisant l'échange des terres et de matériaux entre professionnels du BTP : hesus-store.com
INIES, Dhup-Ademe-Aimcc, données environnementales et sanitaires de référence pour le bâtiment : www.inies.fr
BASOL, Mtes-Dgpr, base de données qui référence les sites et sols pollués nécessitant une action des pouvoirs publics à titre préventif ou curatif : basol.developpement-durable.gouv.fr
BASIAS, Mtes, inventaire historique des sites industriels en activités en service : www.georisques.gouv.fr/dossiers/inventaire-historique-des-sites-industriels-et-activites-de-service-basias#
Excédents de chantier, Fntp, site permettant d'identifier les centres de traitement et de recyclage à proximité de votre chantier : www.excedents-chantier.fntp.fr
Calcul du coût global, mtes, méthode qui permet d'anticiper différentes contraintes lors de la construction d'un ouvrage, www.coutglobal.developpement-durable.gouv.fr
Bâtiments durables méditerrannéens, Envirobat-BDM, outil d'accompagnement et d'évaluation sur les aspects durables du bâtiment, podebd.eu
PRAXIBAT, Ademe, outil formant aux techniques d'éfficacité énergétique dans les bâtiments, www.construction21.org
ELODIE, Cstb, logiciel pour évaluer la performance environnementale d'un bâtiment sur toutes les phases de son cycle de vie, www.elodie-cstb.fr</t>
    </r>
  </si>
  <si>
    <t>Thème économie de la fonctionnalité</t>
  </si>
  <si>
    <t>https://www.ademe.fr/avis-lademe-leconomie-fonctionnalite</t>
  </si>
  <si>
    <t>Avis de l'ADEME, janvier 2019 :</t>
  </si>
  <si>
    <t>Etes-vous un syndicat ?*</t>
  </si>
  <si>
    <t>Avez-vous une compétence développement économique ?*</t>
  </si>
  <si>
    <t>* champs obligatoires à renseigner</t>
  </si>
  <si>
    <t>Un réseau d'acheteurs "Commande publique et développement durable" existe-t-il sur votre territoire ?*</t>
  </si>
  <si>
    <t>Le montant annuel des achats de la collectivité dépasse-t-il 100 millions d'euros ?*</t>
  </si>
  <si>
    <t>- Les orientations distinguent 3 types d'actions (au total 178 actions) :</t>
  </si>
  <si>
    <t>Pondération au sein de l'orientation (en %)</t>
  </si>
  <si>
    <t>Bonnes pratiques</t>
  </si>
  <si>
    <t>Commentaires ou exemples d'actions mises en place par la collectivité</t>
  </si>
  <si>
    <t>Complétude de l'action
Année N</t>
  </si>
  <si>
    <t>Cible pour l'année N+1</t>
  </si>
  <si>
    <t>Notation année N</t>
  </si>
  <si>
    <t>Notation année N+1</t>
  </si>
  <si>
    <t>Complétude de l'action
Année N+1</t>
  </si>
  <si>
    <t>Cible pour l'année N+2</t>
  </si>
  <si>
    <t>Notation année N+2</t>
  </si>
  <si>
    <t>Complétude de l'action
Année N+2</t>
  </si>
  <si>
    <t>Cible pour l'année N+3</t>
  </si>
  <si>
    <t xml:space="preserve">source : Gestion des déchets ménagers et assimilés : bilan des connaissances et évaluation des effets sanitaires en population générale et au travail, Environnement, Risques &amp; Santé, Volume 11, Septembre-Octobre 2012. </t>
  </si>
  <si>
    <t>La collectivité communique (elle-même ou en partenariat avec la Région, les chambres consulaires, les associations environnementales, offices du toursime…) sur les activités sur son territoire pour rendre visibles et accessibles les structures concernées, contribuant à une consommation responsable : magasins de vente en vrac, entreprises de prêt ou de location entre particuliers, entreprises et ateliers de réparation, hébergements touristiques détenant un label environnemental, etc.</t>
  </si>
  <si>
    <t>Faire évoluer les marchés de travaux/services par une meilleure anticipation et une prise en compte de clauses favorisant l'économie circulaire selon une approche en coût global (axe 4.2) :  
- matériaux issus du réemploi, recyclés et/ou biosourcés, éco-conception, critères de performance énergétique, introduction d'ENR, chantiers verts/propres ou charte Démoclès…. 
- Gérer en optimisant l'usage d'un foncier dégradé pour limiter la consommation de foncier agricole ou forestier en intervenant notamment sur la dépollution des sols / Prolonger la durée d’usage du foncier grâce à l’anticipation de sa réversibilité
- approvisionnement bio et local des restaurants collectifs de la collectivité 
- mettre en relation des producteurs locaux avec acheteurs. Elle peut être faite par le rapprochement des politiques agricoles avec développement de plateforme (agrilocal)
- choix des produits issus de circuits courts, choix de produits de saison, lutte contre le gaspillage alimentaire, compostage des déchets organiques, mise en place de jardins partagés, suppression de la vaisselle jetable…
- espaces verts économes en intrants
- Utilisation des logiciels SEVE et ECORCE dans les travaux publics pour l'évaluation des variantes environnementales</t>
  </si>
  <si>
    <t>-organisation de journées sur le thème de la réparation et du recyclage des objets du quotidien (partenariat avec des ateliers et des recycleries)
-organisation de conférences/formations sur la consommation de matières et l'analyse de flux de matières à destination des entreprises
 -contribution à la dynamique (réunions avec et entre professionnels en lien avec la réparation - ex. réparateurs indépendants, CMA, acteurs de l'ESS, communes...) régionale en faveur de la réparation, à défaut, à l'échelle locale</t>
  </si>
  <si>
    <t xml:space="preserve">-réflexion sur l'aménagement des ZA et sur l'usage des friches industrielles (compétence aménagement du territoire)
+ transports collectifs, déplacements modes doux, aménagement collectifs pour la collecte de déchets, etc.
REX livre blanc de la SPLA Portes du Tarn : 
https://www.economiecirculaire.org/community/pg/file/2087/read/8002/livre-blanc-intgrer-lconomie-circulaire-dans-un-projet-de-parc-dactivits-elments-mthodologiques-et-outils-issus-du-projet-de-recherche-coprei-  
https://www.economiecirculaire.org/articles/h/l-economie-circulaire-vers-une-nouvelle-approche-du-developpement-economique-des-territoires-la-demarche-novatrice-du-parc-d-activites-des-portes-du-tarn.html </t>
  </si>
  <si>
    <t>les collectivités adhérentes communiquent sur la  politique Economie Circulaire  et sont en contact avec les  partenaires et relais implantés dans leur territoire. 
Participation à la gouvernance (comité local d'alimentation) et à la mise en œuvre du PAT (ex: restauration scolaire, administrative…)</t>
  </si>
  <si>
    <t xml:space="preserve">La collectivité établit des contacts réguliers avec les acteurs principaux identifiés en 1.1 pour prendre la mesure de leurs besoins et une meilleure connaissance de leurs activités  </t>
  </si>
  <si>
    <t xml:space="preserve">Note obtenue </t>
  </si>
  <si>
    <t>Année N</t>
  </si>
  <si>
    <t>Année N+1</t>
  </si>
  <si>
    <t>Année N+2</t>
  </si>
  <si>
    <t>Note finale année N</t>
  </si>
  <si>
    <t>Note finale année N+1</t>
  </si>
  <si>
    <t>Note finale année N+2</t>
  </si>
  <si>
    <t>Récapitulatif du nombre de points et du nombre d'actions par type d'action</t>
  </si>
  <si>
    <t>Points en absolu par action</t>
  </si>
  <si>
    <t>Poids des actions dans la note totale (%)</t>
  </si>
  <si>
    <t>Total des points atteignables par la CL</t>
  </si>
  <si>
    <t>Exemples de filières à enjeu : BTP, alimentation, mobilité, numérique, nautisme, énergie, industries, forêt/bois…</t>
  </si>
  <si>
    <t>choisir à l'aide du menu déroulant. Si aucune installation, appuyer sur "Suppr" pour effacer le contenu.</t>
  </si>
  <si>
    <t>Focus filière (dé)construction et aménagement : 
• Privilégier les matériaux locaux, biosourcés, issus du réemploi ou du recyclage
• Penser la construction dans une perspective ACV en veillant à bien intégrer la phase d’optimisation de la fin de vie au démarrage du projet 
• Considérer les matériaux destinés à l’aménagement comme un stock sur le long terme
• Impliquer les consommateurs dans la consommation des bâtiments
• Anticiper les évolutions des usages sur le long terme et affecter les choix de construction en fonction
Focus filière alimentation : Projets Alimentaires Territoriaux 
• Identifier les espaces à valoriser 
• Conserver du foncier agricole à proximité des centres urbains 
• Mieux mobiliser le foncier à réaménager et à requalifier (exemple : zones commerciales
et industrielles en entrée de ville), et y installer des activités pour favoriser l’économie circulaire  
• Créer des dispositifs fiscaux visant à réduire l’utilisation des ressources foncières
pour limiter l’étalement urbain
Pour favoriser l'économie circulaire dans les cycles alimentaires : 
• Accroître  les  connaissances  sur  les  pratiques  agricoles  et  sur  les  différentes  formes  possibles de valorisation des déchets en mettant en perspective leur efficacité
•Multiplier les liens entre la ville et l’« hinterland»
•Reconnecter les politiques urbaines et alimentaires
•Mobiliser  les  pouvoirs  publics  sur  l’importance  du  foncier  agricole  et  les  financements  pour la  production  agricole,  mais  aussi  prévoir  des  lieux  pour  les  intermédiaires  (approvisionnement,logistique, transformation)
•Changer  la  perception  des  bio-déchets  et  sensibiliser  les  consommateurs,  notamment  à  travers les écoles
•Promouvoir la logistique durable : fluviale, ferroviaire, mutualisation</t>
  </si>
  <si>
    <t>La collectivité privilégie une logique d’achat de services à l’acquisition par la propriété. Elle favorise l'achat d'occasion et le réemploi.</t>
  </si>
  <si>
    <t>achat / vente sur agorastore ou webenchères</t>
  </si>
  <si>
    <t>-partenariats avec les chambres consulaires, les universités,Agences régionales de l'innovation, pôles de compétitivité, clusters…,  
- organisation de journées de REX, de formations, etc 
- Le tourisme est un secteur clé en France et il permet via les hébergements touristiques de mobiliser les acteurs économiques des territoires sur l'économie de la ressource, la sensibilisation des consommateurs et de développer des synergies Cf liste des entreprises certifiées éco-label européen (http://www.ecolabels.fr/fr/recherche-avancee/categories-de-produits-ou-services-certifies)</t>
  </si>
  <si>
    <t>km²</t>
  </si>
  <si>
    <r>
      <t xml:space="preserve">- Plusieurs cases du référentiel d'actions comportent des commentaires précisant à quelle obligations réglementaires ces actions répondent. Un onglet rouge "réglementation" fait la synthèse de toutes les actions concernées. </t>
    </r>
    <r>
      <rPr>
        <b/>
        <sz val="10"/>
        <color rgb="FFFF0000"/>
        <rFont val="Arial"/>
        <family val="2"/>
      </rPr>
      <t>Ces actions doivent obligatoirement être validées (note de 100%) pour pouvoir accéder à la labellisation.</t>
    </r>
  </si>
  <si>
    <r>
      <t xml:space="preserve">- Le présent tableur constitue </t>
    </r>
    <r>
      <rPr>
        <b/>
        <sz val="10"/>
        <rFont val="Arial"/>
        <family val="2"/>
      </rPr>
      <t xml:space="preserve">un outil d'aide à la qualification </t>
    </r>
    <r>
      <rPr>
        <b/>
        <sz val="10"/>
        <color theme="1"/>
        <rFont val="Arial"/>
        <family val="2"/>
      </rPr>
      <t>de la performance d'une politique territoriale d'économie circulaire</t>
    </r>
    <r>
      <rPr>
        <sz val="10"/>
        <color theme="1"/>
        <rFont val="Arial"/>
        <family val="2"/>
      </rPr>
      <t xml:space="preserve">. 
- L'outil est structuré en 5 axes, comprenant chacun plusieurs orientations. Pour chaque orientation, il s'agit de positionner la collectivité sur un niveau de "maturité".
- L'outil a été construit en synergie avec </t>
    </r>
    <r>
      <rPr>
        <b/>
        <sz val="10"/>
        <color theme="1"/>
        <rFont val="Arial"/>
        <family val="2"/>
      </rPr>
      <t>le guide d'utilisation, également téléchargeable sur OPTIGEDE</t>
    </r>
    <r>
      <rPr>
        <sz val="10"/>
        <color theme="1"/>
        <rFont val="Arial"/>
        <family val="2"/>
      </rPr>
      <t xml:space="preserve"> : ces deux documents permetten à une collectivité de s'auto-évaluer, sans aide extérieure.</t>
    </r>
  </si>
  <si>
    <t>Y a-t-il des universités sur le territoire de la collectivité ?</t>
  </si>
  <si>
    <t>si pas de compétence développement économique ou si absence d'universités</t>
  </si>
  <si>
    <t>La collectivité via un poste d'animateur EIT (interne ou externe) a accompagné les entreprises dans la concrétisation de la mise en œuvre de leurs synergies (ex : substitution, mutualisation)</t>
  </si>
  <si>
    <t>Un état des lieux du potentiel d'optimisation de la valorisation énergétique des déchets est effectué, en fonction des installations de traitement des déchets gérées par la collectivité.</t>
  </si>
  <si>
    <t>Installations de traitement des déchets gérées par la collectivité*</t>
  </si>
  <si>
    <t>Mise en place d'une concertation amont pour co-construire le projet
Méthode CONCERTO pour la partie biodéchets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</si>
</sst>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10"/>
      <color theme="1"/>
      <name val="Calibri"/>
      <family val="2"/>
      <scheme val="minor"/>
    </font>
    <font>
      <b/>
      <sz val="14"/>
      <name val="Calibri"/>
      <family val="2"/>
      <scheme val="minor"/>
    </font>
    <font>
      <sz val="10"/>
      <name val="Calibri"/>
      <family val="2"/>
      <scheme val="minor"/>
    </font>
    <font>
      <sz val="12"/>
      <color theme="1"/>
      <name val="Calibri"/>
      <family val="2"/>
      <scheme val="minor"/>
    </font>
    <font>
      <i/>
      <sz val="10"/>
      <color theme="1"/>
      <name val="Calibri"/>
      <family val="2"/>
      <scheme val="minor"/>
    </font>
    <font>
      <b/>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10"/>
      <name val="Calibri"/>
      <family val="2"/>
      <scheme val="minor"/>
    </font>
    <font>
      <i/>
      <sz val="11"/>
      <color theme="1"/>
      <name val="Calibri"/>
      <family val="2"/>
      <scheme val="minor"/>
    </font>
    <font>
      <sz val="11"/>
      <name val="Calibri"/>
      <family val="2"/>
      <scheme val="minor"/>
    </font>
    <font>
      <u/>
      <sz val="11"/>
      <color theme="10"/>
      <name val="Calibri"/>
      <family val="2"/>
      <scheme val="minor"/>
    </font>
    <font>
      <sz val="10"/>
      <name val="Arial"/>
      <family val="2"/>
    </font>
    <font>
      <b/>
      <sz val="16"/>
      <color theme="0"/>
      <name val="Calibri"/>
      <family val="2"/>
      <scheme val="minor"/>
    </font>
    <font>
      <b/>
      <sz val="10"/>
      <name val="Arial"/>
      <family val="2"/>
    </font>
    <font>
      <b/>
      <sz val="10"/>
      <color theme="1"/>
      <name val="Arial"/>
      <family val="2"/>
    </font>
    <font>
      <sz val="10"/>
      <color theme="1"/>
      <name val="Arial"/>
      <family val="2"/>
    </font>
    <font>
      <b/>
      <sz val="10"/>
      <color theme="0"/>
      <name val="Arial"/>
      <family val="2"/>
    </font>
    <font>
      <u/>
      <sz val="10"/>
      <color theme="10"/>
      <name val="Arial"/>
      <family val="2"/>
    </font>
    <font>
      <sz val="12"/>
      <color indexed="8"/>
      <name val="Calibri"/>
      <family val="2"/>
    </font>
    <font>
      <sz val="10"/>
      <color indexed="8"/>
      <name val="Calibri"/>
      <family val="2"/>
    </font>
    <font>
      <b/>
      <sz val="11"/>
      <color indexed="9"/>
      <name val="Calibri"/>
      <family val="2"/>
    </font>
    <font>
      <sz val="10"/>
      <name val="Calibri"/>
      <family val="2"/>
    </font>
    <font>
      <i/>
      <sz val="10"/>
      <color indexed="8"/>
      <name val="Calibri"/>
      <family val="2"/>
    </font>
    <font>
      <sz val="12"/>
      <name val="Calibri"/>
      <family val="2"/>
    </font>
    <font>
      <b/>
      <sz val="14"/>
      <color indexed="9"/>
      <name val="Calibri"/>
      <family val="2"/>
    </font>
    <font>
      <b/>
      <sz val="10"/>
      <color indexed="8"/>
      <name val="Calibri"/>
      <family val="2"/>
    </font>
    <font>
      <b/>
      <sz val="14"/>
      <name val="Calibri"/>
      <family val="2"/>
    </font>
    <font>
      <b/>
      <sz val="11"/>
      <name val="Calibri"/>
      <family val="2"/>
      <scheme val="minor"/>
    </font>
    <font>
      <b/>
      <i/>
      <sz val="11"/>
      <color theme="1"/>
      <name val="Calibri"/>
      <family val="2"/>
      <scheme val="minor"/>
    </font>
    <font>
      <b/>
      <i/>
      <sz val="14"/>
      <color theme="0"/>
      <name val="Calibri"/>
      <family val="2"/>
      <scheme val="minor"/>
    </font>
    <font>
      <i/>
      <sz val="10"/>
      <name val="Calibri"/>
      <family val="2"/>
      <scheme val="minor"/>
    </font>
    <font>
      <u/>
      <sz val="10"/>
      <name val="Calibri"/>
      <family val="2"/>
      <scheme val="minor"/>
    </font>
    <font>
      <b/>
      <sz val="12"/>
      <color theme="1"/>
      <name val="Calibri"/>
      <family val="2"/>
      <scheme val="minor"/>
    </font>
    <font>
      <i/>
      <sz val="11"/>
      <color theme="4"/>
      <name val="Calibri"/>
      <family val="2"/>
      <scheme val="minor"/>
    </font>
    <font>
      <i/>
      <sz val="11"/>
      <color theme="9"/>
      <name val="Calibri"/>
      <family val="2"/>
      <scheme val="minor"/>
    </font>
    <font>
      <i/>
      <sz val="11"/>
      <color theme="6"/>
      <name val="Calibri"/>
      <family val="2"/>
      <scheme val="minor"/>
    </font>
    <font>
      <i/>
      <sz val="11"/>
      <color theme="0" tint="-0.34998626667073579"/>
      <name val="Calibri"/>
      <family val="2"/>
      <scheme val="minor"/>
    </font>
    <font>
      <i/>
      <sz val="11"/>
      <color theme="5"/>
      <name val="Calibri"/>
      <family val="2"/>
      <scheme val="minor"/>
    </font>
    <font>
      <sz val="10"/>
      <color theme="4"/>
      <name val="Calibri"/>
      <family val="2"/>
      <scheme val="minor"/>
    </font>
    <font>
      <sz val="10"/>
      <color theme="9"/>
      <name val="Calibri"/>
      <family val="2"/>
      <scheme val="minor"/>
    </font>
    <font>
      <sz val="11"/>
      <color theme="4"/>
      <name val="Calibri"/>
      <family val="2"/>
      <scheme val="minor"/>
    </font>
    <font>
      <sz val="11"/>
      <color theme="9"/>
      <name val="Calibri"/>
      <family val="2"/>
      <scheme val="minor"/>
    </font>
    <font>
      <i/>
      <sz val="10"/>
      <color theme="4"/>
      <name val="Calibri"/>
      <family val="2"/>
      <scheme val="minor"/>
    </font>
    <font>
      <sz val="10"/>
      <color theme="3" tint="0.39997558519241921"/>
      <name val="Calibri"/>
      <family val="2"/>
      <scheme val="minor"/>
    </font>
    <font>
      <sz val="10"/>
      <color theme="5"/>
      <name val="Calibri"/>
      <family val="2"/>
      <scheme val="minor"/>
    </font>
    <font>
      <i/>
      <sz val="10"/>
      <color theme="0" tint="-0.34998626667073579"/>
      <name val="Calibri"/>
      <family val="2"/>
      <scheme val="minor"/>
    </font>
    <font>
      <i/>
      <sz val="10"/>
      <color theme="9"/>
      <name val="Calibri"/>
      <family val="2"/>
      <scheme val="minor"/>
    </font>
    <font>
      <i/>
      <sz val="10"/>
      <color theme="5"/>
      <name val="Calibri"/>
      <family val="2"/>
      <scheme val="minor"/>
    </font>
    <font>
      <b/>
      <sz val="10"/>
      <color theme="5"/>
      <name val="Calibri"/>
      <family val="2"/>
      <scheme val="minor"/>
    </font>
    <font>
      <b/>
      <sz val="10"/>
      <color theme="3" tint="0.39997558519241921"/>
      <name val="Calibri"/>
      <family val="2"/>
      <scheme val="minor"/>
    </font>
    <font>
      <sz val="10"/>
      <color theme="9" tint="-0.249977111117893"/>
      <name val="Calibri"/>
      <family val="2"/>
      <scheme val="minor"/>
    </font>
    <font>
      <b/>
      <sz val="10"/>
      <color theme="9" tint="-0.249977111117893"/>
      <name val="Calibri"/>
      <family val="2"/>
      <scheme val="minor"/>
    </font>
    <font>
      <sz val="10"/>
      <name val="Trebuchet MS"/>
      <family val="2"/>
    </font>
    <font>
      <b/>
      <sz val="10"/>
      <name val="Trebuchet MS"/>
      <family val="2"/>
    </font>
    <font>
      <b/>
      <sz val="9"/>
      <color theme="1"/>
      <name val="Calibri"/>
      <family val="2"/>
      <scheme val="minor"/>
    </font>
    <font>
      <sz val="9"/>
      <color theme="1"/>
      <name val="Calibri"/>
      <family val="2"/>
      <scheme val="minor"/>
    </font>
    <font>
      <sz val="10"/>
      <color theme="5" tint="-0.249977111117893"/>
      <name val="Calibri"/>
      <family val="2"/>
      <scheme val="minor"/>
    </font>
    <font>
      <b/>
      <sz val="10"/>
      <color theme="5" tint="-0.249977111117893"/>
      <name val="Calibri"/>
      <family val="2"/>
      <scheme val="minor"/>
    </font>
    <font>
      <b/>
      <sz val="11"/>
      <color theme="4"/>
      <name val="Calibri"/>
      <family val="2"/>
      <scheme val="minor"/>
    </font>
    <font>
      <sz val="11"/>
      <color theme="8"/>
      <name val="Calibri"/>
      <family val="2"/>
      <scheme val="minor"/>
    </font>
    <font>
      <sz val="11"/>
      <color theme="5"/>
      <name val="Calibri"/>
      <family val="2"/>
      <scheme val="minor"/>
    </font>
    <font>
      <b/>
      <sz val="10"/>
      <color theme="4"/>
      <name val="Calibri"/>
      <family val="2"/>
      <scheme val="minor"/>
    </font>
    <font>
      <sz val="11"/>
      <color theme="7"/>
      <name val="Calibri"/>
      <family val="2"/>
      <scheme val="minor"/>
    </font>
    <font>
      <b/>
      <sz val="11"/>
      <color theme="0"/>
      <name val="Calibri"/>
      <family val="2"/>
    </font>
    <font>
      <b/>
      <i/>
      <sz val="11"/>
      <name val="Calibri"/>
      <family val="2"/>
      <scheme val="minor"/>
    </font>
    <font>
      <b/>
      <sz val="8"/>
      <color theme="4"/>
      <name val="Calibri"/>
      <family val="2"/>
      <scheme val="minor"/>
    </font>
    <font>
      <sz val="8"/>
      <color theme="4"/>
      <name val="Calibri"/>
      <family val="2"/>
      <scheme val="minor"/>
    </font>
    <font>
      <u/>
      <sz val="11"/>
      <color theme="4"/>
      <name val="Calibri"/>
      <family val="2"/>
      <scheme val="minor"/>
    </font>
    <font>
      <sz val="10"/>
      <color theme="9"/>
      <name val="Calibri"/>
      <family val="2"/>
    </font>
    <font>
      <b/>
      <i/>
      <sz val="11"/>
      <color theme="4"/>
      <name val="Calibri"/>
      <family val="2"/>
      <scheme val="minor"/>
    </font>
    <font>
      <sz val="11"/>
      <color theme="0"/>
      <name val="Calibri"/>
      <family val="2"/>
      <scheme val="minor"/>
    </font>
    <font>
      <b/>
      <sz val="12"/>
      <name val="Calibri"/>
      <family val="2"/>
      <scheme val="minor"/>
    </font>
    <font>
      <sz val="10"/>
      <color theme="0"/>
      <name val="Calibri"/>
      <family val="2"/>
      <scheme val="minor"/>
    </font>
    <font>
      <sz val="10"/>
      <color theme="0"/>
      <name val="Calibri"/>
      <family val="2"/>
    </font>
    <font>
      <b/>
      <i/>
      <sz val="10"/>
      <color indexed="8"/>
      <name val="Calibri"/>
      <family val="2"/>
    </font>
    <font>
      <b/>
      <sz val="10"/>
      <name val="Calibri"/>
      <family val="2"/>
    </font>
    <font>
      <sz val="10"/>
      <color theme="4"/>
      <name val="Arial"/>
      <family val="2"/>
    </font>
    <font>
      <i/>
      <sz val="11"/>
      <color rgb="FFFF0000"/>
      <name val="Calibri"/>
      <family val="2"/>
      <scheme val="minor"/>
    </font>
    <font>
      <i/>
      <sz val="11"/>
      <name val="Calibri"/>
      <family val="2"/>
      <scheme val="minor"/>
    </font>
    <font>
      <b/>
      <sz val="10"/>
      <color rgb="FFFF0000"/>
      <name val="Arial"/>
      <family val="2"/>
    </font>
  </fonts>
  <fills count="23">
    <fill>
      <patternFill patternType="none"/>
    </fill>
    <fill>
      <patternFill patternType="gray125"/>
    </fill>
    <fill>
      <patternFill patternType="solid">
        <fgColor theme="1" tint="0.34998626667073579"/>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595959"/>
        <bgColor indexed="64"/>
      </patternFill>
    </fill>
    <fill>
      <patternFill patternType="solid">
        <fgColor rgb="FFACB9CA"/>
        <bgColor indexed="64"/>
      </patternFill>
    </fill>
    <fill>
      <patternFill patternType="solid">
        <fgColor rgb="FFBFBFBF"/>
        <bgColor indexed="64"/>
      </patternFill>
    </fill>
    <fill>
      <patternFill patternType="solid">
        <fgColor theme="3"/>
        <bgColor indexed="64"/>
      </patternFill>
    </fill>
    <fill>
      <patternFill patternType="solid">
        <fgColor theme="0" tint="-4.9989318521683403E-2"/>
        <bgColor indexed="64"/>
      </patternFill>
    </fill>
    <fill>
      <patternFill patternType="solid">
        <fgColor theme="2"/>
        <bgColor indexed="64"/>
      </patternFill>
    </fill>
    <fill>
      <patternFill patternType="solid">
        <fgColor theme="4"/>
        <bgColor indexed="64"/>
      </patternFill>
    </fill>
    <fill>
      <patternFill patternType="solid">
        <fgColor theme="9"/>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3" tint="0.79998168889431442"/>
        <bgColor indexed="64"/>
      </patternFill>
    </fill>
  </fills>
  <borders count="97">
    <border>
      <left/>
      <right/>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hair">
        <color theme="0" tint="-0.499984740745262"/>
      </right>
      <top style="hair">
        <color theme="0" tint="-0.499984740745262"/>
      </top>
      <bottom/>
      <diagonal/>
    </border>
    <border>
      <left style="thin">
        <color theme="0" tint="-0.499984740745262"/>
      </left>
      <right style="hair">
        <color theme="0" tint="-0.499984740745262"/>
      </right>
      <top/>
      <bottom style="hair">
        <color theme="0" tint="-0.499984740745262"/>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style="thin">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thin">
        <color theme="1" tint="0.499984740745262"/>
      </left>
      <right style="hair">
        <color theme="1" tint="0.499984740745262"/>
      </right>
      <top/>
      <bottom style="hair">
        <color theme="1" tint="0.499984740745262"/>
      </bottom>
      <diagonal/>
    </border>
    <border>
      <left style="thin">
        <color theme="1" tint="0.499984740745262"/>
      </left>
      <right style="hair">
        <color theme="1" tint="0.499984740745262"/>
      </right>
      <top/>
      <bottom/>
      <diagonal/>
    </border>
    <border>
      <left style="thin">
        <color theme="0" tint="-0.499984740745262"/>
      </left>
      <right style="hair">
        <color theme="0" tint="-0.499984740745262"/>
      </right>
      <top/>
      <bottom/>
      <diagonal/>
    </border>
    <border>
      <left style="hair">
        <color theme="0" tint="-0.499984740745262"/>
      </left>
      <right style="hair">
        <color theme="0" tint="-0.499984740745262"/>
      </right>
      <top style="hair">
        <color theme="0" tint="-0.499984740745262"/>
      </top>
      <bottom/>
      <diagonal/>
    </border>
    <border>
      <left style="thin">
        <color theme="0" tint="-0.499984740745262"/>
      </left>
      <right style="hair">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thin">
        <color theme="1" tint="0.499984740745262"/>
      </left>
      <right style="hair">
        <color theme="1" tint="0.499984740745262"/>
      </right>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1" tint="0.499984740745262"/>
      </left>
      <right style="thin">
        <color theme="1" tint="0.499984740745262"/>
      </right>
      <top style="hair">
        <color theme="1" tint="0.499984740745262"/>
      </top>
      <bottom style="hair">
        <color theme="1" tint="0.49998474074526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medium">
        <color indexed="64"/>
      </bottom>
      <diagonal/>
    </border>
    <border>
      <left style="hair">
        <color theme="1" tint="0.499984740745262"/>
      </left>
      <right/>
      <top style="hair">
        <color theme="1" tint="0.499984740745262"/>
      </top>
      <bottom style="hair">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theme="0" tint="-0.499984740745262"/>
      </left>
      <right style="thin">
        <color theme="0" tint="-0.499984740745262"/>
      </right>
      <top style="hair">
        <color theme="0" tint="-0.499984740745262"/>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right/>
      <top style="thin">
        <color theme="1" tint="0.499984740745262"/>
      </top>
      <bottom/>
      <diagonal/>
    </border>
    <border>
      <left style="hair">
        <color theme="1" tint="0.499984740745262"/>
      </left>
      <right style="thin">
        <color theme="1" tint="0.499984740745262"/>
      </right>
      <top style="hair">
        <color theme="1" tint="0.499984740745262"/>
      </top>
      <bottom/>
      <diagonal/>
    </border>
    <border>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auto="1"/>
      </left>
      <right/>
      <top style="medium">
        <color indexed="64"/>
      </top>
      <bottom style="thin">
        <color auto="1"/>
      </bottom>
      <diagonal/>
    </border>
  </borders>
  <cellStyleXfs count="7">
    <xf numFmtId="0" fontId="0" fillId="0" borderId="0"/>
    <xf numFmtId="9" fontId="1" fillId="0" borderId="0" applyFont="0" applyFill="0" applyBorder="0" applyAlignment="0" applyProtection="0"/>
    <xf numFmtId="0" fontId="8" fillId="0" borderId="0"/>
    <xf numFmtId="0" fontId="17" fillId="0" borderId="0" applyNumberFormat="0" applyFill="0" applyBorder="0" applyAlignment="0" applyProtection="0"/>
    <xf numFmtId="0" fontId="18" fillId="0" borderId="0"/>
    <xf numFmtId="0" fontId="1" fillId="0" borderId="0"/>
    <xf numFmtId="0" fontId="24" fillId="0" borderId="0" applyNumberFormat="0" applyFill="0" applyBorder="0" applyAlignment="0" applyProtection="0"/>
  </cellStyleXfs>
  <cellXfs count="1003">
    <xf numFmtId="0" fontId="0" fillId="0" borderId="0" xfId="0"/>
    <xf numFmtId="0" fontId="5" fillId="0" borderId="0" xfId="0" applyFont="1"/>
    <xf numFmtId="0" fontId="7" fillId="0" borderId="0" xfId="0" applyFont="1" applyAlignment="1">
      <alignment horizontal="center" vertical="center" wrapText="1"/>
    </xf>
    <xf numFmtId="0" fontId="5" fillId="0" borderId="0" xfId="2" applyFont="1" applyAlignment="1">
      <alignment horizontal="center" vertical="center" wrapText="1"/>
    </xf>
    <xf numFmtId="0" fontId="5" fillId="0" borderId="0" xfId="2" applyFont="1" applyAlignment="1">
      <alignment vertical="center" wrapText="1"/>
    </xf>
    <xf numFmtId="0" fontId="5" fillId="0" borderId="0" xfId="2" applyFont="1" applyAlignment="1">
      <alignment horizontal="left" vertical="center" wrapText="1"/>
    </xf>
    <xf numFmtId="0" fontId="5" fillId="0" borderId="5" xfId="2" applyFont="1" applyBorder="1" applyAlignment="1">
      <alignment vertical="center" wrapText="1"/>
    </xf>
    <xf numFmtId="0" fontId="5" fillId="0" borderId="9" xfId="2" applyFont="1" applyBorder="1" applyAlignment="1">
      <alignment vertical="center" wrapText="1"/>
    </xf>
    <xf numFmtId="0" fontId="5" fillId="0" borderId="10" xfId="2" applyFont="1" applyBorder="1" applyAlignment="1">
      <alignment vertical="center" wrapText="1"/>
    </xf>
    <xf numFmtId="0" fontId="10" fillId="0" borderId="0" xfId="2" applyFont="1" applyAlignment="1">
      <alignment horizontal="center" vertical="center" wrapText="1"/>
    </xf>
    <xf numFmtId="0" fontId="1" fillId="0" borderId="0" xfId="2" applyFont="1" applyAlignment="1">
      <alignment horizontal="center" vertical="center" wrapText="1"/>
    </xf>
    <xf numFmtId="0" fontId="5" fillId="0" borderId="6" xfId="2" quotePrefix="1" applyFont="1" applyBorder="1" applyAlignment="1">
      <alignment vertical="center" wrapText="1"/>
    </xf>
    <xf numFmtId="0" fontId="5" fillId="0" borderId="0" xfId="2" quotePrefix="1" applyFont="1" applyAlignment="1">
      <alignment vertical="center" wrapText="1"/>
    </xf>
    <xf numFmtId="0" fontId="5" fillId="0" borderId="5" xfId="2" applyFont="1" applyBorder="1" applyAlignment="1">
      <alignment horizontal="left" vertical="center" wrapText="1"/>
    </xf>
    <xf numFmtId="0" fontId="2" fillId="5" borderId="0" xfId="2" applyFont="1" applyFill="1" applyAlignment="1">
      <alignment horizontal="center" vertical="center" wrapText="1"/>
    </xf>
    <xf numFmtId="0" fontId="5" fillId="5" borderId="0" xfId="2" applyFont="1" applyFill="1" applyAlignment="1">
      <alignment vertical="center" wrapText="1"/>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5" borderId="0" xfId="0" applyFont="1" applyFill="1"/>
    <xf numFmtId="0" fontId="5" fillId="0" borderId="6" xfId="0" applyFont="1" applyBorder="1" applyAlignment="1">
      <alignment vertical="center" wrapText="1"/>
    </xf>
    <xf numFmtId="0" fontId="16" fillId="0" borderId="0" xfId="0" applyFont="1"/>
    <xf numFmtId="0" fontId="16" fillId="0" borderId="0" xfId="2" applyFont="1" applyAlignment="1">
      <alignment horizontal="center" vertical="center" wrapText="1"/>
    </xf>
    <xf numFmtId="0" fontId="18" fillId="5" borderId="14" xfId="4" applyFill="1" applyBorder="1"/>
    <xf numFmtId="0" fontId="18" fillId="5" borderId="0" xfId="4" applyFill="1"/>
    <xf numFmtId="0" fontId="18" fillId="5" borderId="15" xfId="4" applyFill="1" applyBorder="1"/>
    <xf numFmtId="0" fontId="2" fillId="7" borderId="14" xfId="4" applyFont="1" applyFill="1" applyBorder="1"/>
    <xf numFmtId="0" fontId="2" fillId="7" borderId="0" xfId="4" applyFont="1" applyFill="1"/>
    <xf numFmtId="0" fontId="18" fillId="7" borderId="15" xfId="4" applyFill="1" applyBorder="1"/>
    <xf numFmtId="0" fontId="18" fillId="8" borderId="14" xfId="4" applyFill="1" applyBorder="1"/>
    <xf numFmtId="0" fontId="18" fillId="0" borderId="14" xfId="4" applyBorder="1"/>
    <xf numFmtId="0" fontId="18" fillId="0" borderId="0" xfId="4" quotePrefix="1" applyAlignment="1">
      <alignment horizontal="left" vertical="top" wrapText="1"/>
    </xf>
    <xf numFmtId="0" fontId="18" fillId="0" borderId="15" xfId="4" applyBorder="1" applyAlignment="1">
      <alignment horizontal="left" vertical="top" wrapText="1"/>
    </xf>
    <xf numFmtId="0" fontId="1" fillId="0" borderId="14" xfId="5" applyBorder="1"/>
    <xf numFmtId="0" fontId="1" fillId="0" borderId="0" xfId="5"/>
    <xf numFmtId="0" fontId="1" fillId="0" borderId="15" xfId="5" applyBorder="1"/>
    <xf numFmtId="0" fontId="23" fillId="6" borderId="16" xfId="4" applyFont="1" applyFill="1" applyBorder="1"/>
    <xf numFmtId="0" fontId="1" fillId="0" borderId="20" xfId="5" applyBorder="1"/>
    <xf numFmtId="0" fontId="1" fillId="0" borderId="21" xfId="5" applyBorder="1"/>
    <xf numFmtId="0" fontId="1" fillId="0" borderId="22" xfId="5" applyBorder="1"/>
    <xf numFmtId="0" fontId="0" fillId="0" borderId="14" xfId="0" applyBorder="1"/>
    <xf numFmtId="0" fontId="0" fillId="0" borderId="15" xfId="0" applyBorder="1"/>
    <xf numFmtId="0" fontId="0" fillId="0" borderId="20" xfId="0" applyBorder="1"/>
    <xf numFmtId="0" fontId="0" fillId="0" borderId="21" xfId="0" applyBorder="1"/>
    <xf numFmtId="0" fontId="0" fillId="0" borderId="22" xfId="0" applyBorder="1"/>
    <xf numFmtId="0" fontId="0" fillId="0" borderId="0" xfId="0" applyAlignment="1">
      <alignment vertical="center"/>
    </xf>
    <xf numFmtId="0" fontId="15" fillId="0" borderId="0" xfId="0" applyFont="1" applyAlignment="1">
      <alignment vertical="center"/>
    </xf>
    <xf numFmtId="9" fontId="7" fillId="5" borderId="0" xfId="1"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5" fillId="0" borderId="0" xfId="0" applyFont="1" applyAlignment="1">
      <alignment horizontal="center" vertical="center"/>
    </xf>
    <xf numFmtId="0" fontId="5" fillId="0" borderId="2" xfId="0" applyFont="1" applyBorder="1" applyAlignment="1">
      <alignment horizontal="left" vertical="center" wrapText="1"/>
    </xf>
    <xf numFmtId="0" fontId="26" fillId="0" borderId="0" xfId="0" applyFont="1"/>
    <xf numFmtId="0" fontId="28"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25" fillId="0" borderId="0" xfId="0" applyFont="1" applyAlignment="1">
      <alignment horizontal="center" vertical="center" wrapText="1"/>
    </xf>
    <xf numFmtId="0" fontId="33" fillId="0" borderId="0" xfId="0" applyFont="1" applyAlignment="1">
      <alignment horizontal="center" vertical="center" wrapText="1"/>
    </xf>
    <xf numFmtId="0" fontId="29" fillId="0" borderId="0" xfId="0" applyFont="1" applyAlignment="1">
      <alignment horizontal="center" vertical="center" wrapText="1"/>
    </xf>
    <xf numFmtId="0" fontId="5" fillId="0" borderId="26" xfId="2" applyFont="1" applyBorder="1" applyAlignment="1">
      <alignment vertical="center" wrapText="1"/>
    </xf>
    <xf numFmtId="0" fontId="5" fillId="0" borderId="32" xfId="2" quotePrefix="1" applyFont="1" applyBorder="1" applyAlignment="1">
      <alignment vertical="center" wrapText="1"/>
    </xf>
    <xf numFmtId="0" fontId="5" fillId="0" borderId="29" xfId="2" applyFont="1" applyBorder="1" applyAlignment="1">
      <alignment vertical="center" wrapText="1"/>
    </xf>
    <xf numFmtId="0" fontId="5" fillId="0" borderId="29" xfId="2" quotePrefix="1" applyFont="1" applyBorder="1" applyAlignment="1">
      <alignment vertical="center" wrapText="1"/>
    </xf>
    <xf numFmtId="0" fontId="5" fillId="0" borderId="32" xfId="2" applyFont="1" applyBorder="1" applyAlignment="1">
      <alignment vertical="center" wrapText="1"/>
    </xf>
    <xf numFmtId="0" fontId="7" fillId="0" borderId="32" xfId="2" quotePrefix="1" applyFont="1" applyBorder="1" applyAlignment="1">
      <alignment vertical="center" wrapText="1"/>
    </xf>
    <xf numFmtId="0" fontId="5" fillId="0" borderId="26" xfId="0" applyFont="1" applyBorder="1"/>
    <xf numFmtId="0" fontId="5" fillId="0" borderId="27" xfId="0" applyFont="1" applyBorder="1"/>
    <xf numFmtId="0" fontId="7" fillId="0" borderId="29" xfId="2" applyFont="1" applyBorder="1" applyAlignment="1">
      <alignment vertical="center" wrapText="1"/>
    </xf>
    <xf numFmtId="0" fontId="7" fillId="0" borderId="29" xfId="2" quotePrefix="1" applyFont="1" applyBorder="1" applyAlignment="1">
      <alignment vertical="center" wrapText="1"/>
    </xf>
    <xf numFmtId="0" fontId="7" fillId="0" borderId="0" xfId="2" applyFont="1" applyAlignment="1">
      <alignment vertical="center" wrapText="1"/>
    </xf>
    <xf numFmtId="0" fontId="5" fillId="0" borderId="26" xfId="0" applyFont="1" applyBorder="1" applyAlignment="1">
      <alignment horizontal="left" vertical="center" wrapText="1"/>
    </xf>
    <xf numFmtId="0" fontId="0" fillId="0" borderId="0" xfId="0" applyAlignment="1">
      <alignment horizontal="center" vertical="center" wrapText="1"/>
    </xf>
    <xf numFmtId="0" fontId="5" fillId="0" borderId="2" xfId="2" applyFont="1" applyBorder="1" applyAlignment="1">
      <alignment horizontal="left" vertical="center" wrapText="1"/>
    </xf>
    <xf numFmtId="0" fontId="5" fillId="0" borderId="6" xfId="2" applyFont="1" applyBorder="1" applyAlignment="1">
      <alignment horizontal="center" vertical="center" wrapText="1"/>
    </xf>
    <xf numFmtId="0" fontId="34" fillId="0" borderId="0" xfId="2" applyFont="1" applyAlignment="1">
      <alignment horizontal="center" vertical="center" wrapText="1"/>
    </xf>
    <xf numFmtId="0" fontId="7" fillId="14" borderId="0" xfId="0" applyFont="1" applyFill="1" applyAlignment="1">
      <alignment horizontal="center" vertical="center" wrapText="1"/>
    </xf>
    <xf numFmtId="0" fontId="8" fillId="14" borderId="0" xfId="2" applyFill="1" applyAlignment="1">
      <alignment horizontal="center" vertical="center" wrapText="1"/>
    </xf>
    <xf numFmtId="0" fontId="5" fillId="0" borderId="26" xfId="2" applyFont="1" applyBorder="1" applyAlignment="1">
      <alignment horizontal="left" vertical="center" wrapText="1"/>
    </xf>
    <xf numFmtId="0" fontId="5" fillId="5" borderId="29" xfId="2" applyFont="1" applyFill="1" applyBorder="1" applyAlignment="1">
      <alignment vertical="center" wrapText="1"/>
    </xf>
    <xf numFmtId="0" fontId="5" fillId="0" borderId="30" xfId="2" quotePrefix="1" applyFont="1" applyBorder="1" applyAlignment="1">
      <alignment vertical="center" wrapText="1"/>
    </xf>
    <xf numFmtId="0" fontId="5" fillId="0" borderId="33" xfId="2" quotePrefix="1" applyFont="1" applyBorder="1" applyAlignment="1">
      <alignment vertical="center" wrapText="1"/>
    </xf>
    <xf numFmtId="0" fontId="7" fillId="0" borderId="27" xfId="2" quotePrefix="1" applyFont="1" applyBorder="1" applyAlignment="1">
      <alignment vertical="center" wrapText="1"/>
    </xf>
    <xf numFmtId="0" fontId="5" fillId="0" borderId="29" xfId="2" applyFont="1" applyBorder="1" applyAlignment="1">
      <alignment horizontal="left" vertical="center" wrapText="1"/>
    </xf>
    <xf numFmtId="0" fontId="7" fillId="0" borderId="30" xfId="2" quotePrefix="1" applyFont="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9" xfId="0" applyFont="1" applyBorder="1" applyAlignment="1">
      <alignment horizontal="left" vertical="center" wrapText="1"/>
    </xf>
    <xf numFmtId="0" fontId="5" fillId="0" borderId="29" xfId="0" applyFont="1" applyBorder="1" applyAlignment="1">
      <alignment vertical="center" wrapText="1"/>
    </xf>
    <xf numFmtId="0" fontId="5" fillId="0" borderId="30" xfId="0" applyFont="1" applyBorder="1" applyAlignment="1">
      <alignment vertical="center" wrapText="1"/>
    </xf>
    <xf numFmtId="0" fontId="5" fillId="0" borderId="29" xfId="0" quotePrefix="1" applyFont="1" applyBorder="1" applyAlignment="1">
      <alignment horizontal="left" vertical="center" wrapText="1"/>
    </xf>
    <xf numFmtId="0" fontId="5" fillId="0" borderId="32" xfId="0" applyFont="1" applyBorder="1" applyAlignment="1">
      <alignment horizontal="lef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10" fillId="0" borderId="0" xfId="0" applyFont="1" applyAlignment="1">
      <alignment horizontal="center" vertical="center" wrapText="1"/>
    </xf>
    <xf numFmtId="0" fontId="7" fillId="0" borderId="26" xfId="2" quotePrefix="1" applyFont="1" applyBorder="1" applyAlignment="1">
      <alignment vertical="center" wrapText="1"/>
    </xf>
    <xf numFmtId="0" fontId="5" fillId="0" borderId="26" xfId="2" quotePrefix="1" applyFont="1" applyBorder="1" applyAlignment="1">
      <alignment vertical="center" wrapText="1"/>
    </xf>
    <xf numFmtId="0" fontId="5" fillId="0" borderId="27" xfId="2" quotePrefix="1" applyFont="1" applyBorder="1" applyAlignment="1">
      <alignment vertical="center" wrapText="1"/>
    </xf>
    <xf numFmtId="0" fontId="7" fillId="0" borderId="33" xfId="2" applyFont="1" applyBorder="1" applyAlignment="1">
      <alignment vertical="center" wrapText="1"/>
    </xf>
    <xf numFmtId="0" fontId="16" fillId="14" borderId="0" xfId="2" applyFont="1" applyFill="1" applyAlignment="1">
      <alignment horizontal="center" vertical="center" wrapText="1"/>
    </xf>
    <xf numFmtId="0" fontId="3" fillId="0" borderId="0" xfId="0" applyFont="1" applyAlignment="1">
      <alignment horizontal="center" vertical="center"/>
    </xf>
    <xf numFmtId="3" fontId="0" fillId="0" borderId="0" xfId="0" applyNumberFormat="1" applyAlignment="1">
      <alignment horizontal="center" vertical="center"/>
    </xf>
    <xf numFmtId="0" fontId="0" fillId="0" borderId="16" xfId="0" applyBorder="1"/>
    <xf numFmtId="0" fontId="18" fillId="0" borderId="0" xfId="4" quotePrefix="1" applyAlignment="1">
      <alignment vertical="center" wrapText="1"/>
    </xf>
    <xf numFmtId="0" fontId="7" fillId="0" borderId="5" xfId="2" quotePrefix="1" applyFont="1" applyBorder="1" applyAlignment="1">
      <alignment vertical="center" wrapText="1"/>
    </xf>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applyAlignment="1">
      <alignment horizontal="center"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8" fillId="0" borderId="29" xfId="0" applyFont="1" applyBorder="1" applyAlignment="1">
      <alignment vertical="center" wrapText="1"/>
    </xf>
    <xf numFmtId="0" fontId="28" fillId="0" borderId="29" xfId="0" quotePrefix="1" applyFont="1" applyBorder="1" applyAlignment="1">
      <alignment vertical="center" wrapText="1"/>
    </xf>
    <xf numFmtId="0" fontId="28" fillId="0" borderId="30" xfId="0" quotePrefix="1" applyFont="1" applyBorder="1" applyAlignment="1">
      <alignment vertical="center" wrapText="1"/>
    </xf>
    <xf numFmtId="0" fontId="28" fillId="0" borderId="32" xfId="0" applyFont="1" applyBorder="1" applyAlignment="1">
      <alignment vertical="center" wrapText="1"/>
    </xf>
    <xf numFmtId="0" fontId="28" fillId="0" borderId="32" xfId="0" quotePrefix="1" applyFont="1" applyBorder="1" applyAlignment="1">
      <alignment vertical="center" wrapText="1"/>
    </xf>
    <xf numFmtId="0" fontId="28" fillId="0" borderId="33" xfId="0" quotePrefix="1" applyFont="1" applyBorder="1" applyAlignment="1">
      <alignment vertical="center" wrapText="1"/>
    </xf>
    <xf numFmtId="0" fontId="0" fillId="0" borderId="32" xfId="0" applyBorder="1"/>
    <xf numFmtId="0" fontId="0" fillId="0" borderId="33" xfId="0" applyBorder="1"/>
    <xf numFmtId="0" fontId="34" fillId="0" borderId="26" xfId="2" applyFont="1" applyBorder="1" applyAlignment="1">
      <alignment horizontal="center" vertical="center" wrapText="1"/>
    </xf>
    <xf numFmtId="0" fontId="5" fillId="0" borderId="28" xfId="0" quotePrefix="1" applyFont="1" applyBorder="1" applyAlignment="1">
      <alignment vertical="center" wrapText="1"/>
    </xf>
    <xf numFmtId="0" fontId="5" fillId="0" borderId="28" xfId="0" applyFont="1" applyBorder="1" applyAlignment="1">
      <alignment vertical="center" wrapText="1"/>
    </xf>
    <xf numFmtId="0" fontId="11" fillId="0" borderId="29" xfId="2"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29" xfId="0" applyBorder="1" applyAlignment="1">
      <alignment wrapText="1"/>
    </xf>
    <xf numFmtId="0" fontId="0" fillId="0" borderId="28" xfId="0" applyBorder="1" applyAlignment="1">
      <alignment vertical="center" wrapText="1"/>
    </xf>
    <xf numFmtId="0" fontId="0" fillId="0" borderId="29" xfId="0" applyBorder="1" applyAlignment="1">
      <alignment vertical="center" wrapText="1"/>
    </xf>
    <xf numFmtId="0" fontId="0" fillId="0" borderId="28" xfId="0" applyBorder="1" applyAlignment="1">
      <alignment wrapText="1"/>
    </xf>
    <xf numFmtId="0" fontId="0" fillId="0" borderId="31" xfId="0" applyBorder="1" applyAlignment="1">
      <alignment wrapText="1"/>
    </xf>
    <xf numFmtId="0" fontId="0" fillId="0" borderId="32" xfId="0" applyBorder="1" applyAlignment="1">
      <alignment wrapText="1"/>
    </xf>
    <xf numFmtId="0" fontId="5" fillId="0" borderId="30" xfId="2" applyFont="1" applyBorder="1" applyAlignment="1">
      <alignment horizontal="left" vertical="center" wrapText="1"/>
    </xf>
    <xf numFmtId="0" fontId="7" fillId="0" borderId="47" xfId="0" quotePrefix="1" applyFont="1" applyBorder="1" applyAlignment="1">
      <alignment vertical="center" wrapText="1"/>
    </xf>
    <xf numFmtId="0" fontId="7" fillId="0" borderId="29" xfId="2" applyFont="1" applyBorder="1" applyAlignment="1">
      <alignment horizontal="left" vertical="center" wrapText="1"/>
    </xf>
    <xf numFmtId="1" fontId="5" fillId="0" borderId="1" xfId="2" applyNumberFormat="1" applyFont="1" applyBorder="1" applyAlignment="1">
      <alignment horizontal="center" vertical="center" wrapText="1"/>
    </xf>
    <xf numFmtId="1" fontId="5" fillId="0" borderId="0" xfId="1" applyNumberFormat="1" applyFont="1" applyAlignment="1">
      <alignment horizontal="center" vertical="center" wrapText="1"/>
    </xf>
    <xf numFmtId="0" fontId="16" fillId="0" borderId="2"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9" xfId="2" applyFont="1" applyBorder="1" applyAlignment="1">
      <alignment horizontal="center" vertical="center" wrapText="1"/>
    </xf>
    <xf numFmtId="0" fontId="5" fillId="0" borderId="0" xfId="0" applyFont="1" applyAlignment="1">
      <alignment horizontal="center" vertical="center" wrapText="1"/>
    </xf>
    <xf numFmtId="0" fontId="5" fillId="0" borderId="26" xfId="2" applyFont="1" applyBorder="1" applyAlignment="1">
      <alignment horizontal="center" vertical="center" wrapText="1"/>
    </xf>
    <xf numFmtId="0" fontId="5" fillId="0" borderId="29" xfId="2" applyFont="1" applyBorder="1" applyAlignment="1">
      <alignment horizontal="center" vertical="center" wrapText="1"/>
    </xf>
    <xf numFmtId="0" fontId="5" fillId="0" borderId="32" xfId="2"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3" fillId="0" borderId="0" xfId="0" applyFont="1"/>
    <xf numFmtId="0" fontId="40" fillId="0" borderId="0" xfId="0" applyFont="1" applyAlignment="1">
      <alignment horizontal="left" vertical="center"/>
    </xf>
    <xf numFmtId="0" fontId="3" fillId="0" borderId="0" xfId="0" applyFont="1" applyAlignment="1">
      <alignment horizontal="left" vertical="center"/>
    </xf>
    <xf numFmtId="0" fontId="40" fillId="0" borderId="16" xfId="0" applyFont="1" applyBorder="1"/>
    <xf numFmtId="0" fontId="41" fillId="0" borderId="16" xfId="0" applyFont="1" applyBorder="1" applyAlignment="1">
      <alignment wrapText="1"/>
    </xf>
    <xf numFmtId="0" fontId="42" fillId="0" borderId="16" xfId="0" applyFont="1" applyBorder="1" applyAlignment="1">
      <alignment wrapText="1"/>
    </xf>
    <xf numFmtId="0" fontId="43" fillId="0" borderId="16" xfId="0" applyFont="1" applyBorder="1" applyAlignment="1">
      <alignment wrapText="1"/>
    </xf>
    <xf numFmtId="0" fontId="44" fillId="0" borderId="16" xfId="0" applyFont="1" applyBorder="1" applyAlignment="1">
      <alignment wrapText="1"/>
    </xf>
    <xf numFmtId="0" fontId="3" fillId="0" borderId="0" xfId="0" applyFont="1" applyAlignment="1">
      <alignment horizontal="center" vertical="center" textRotation="90" wrapText="1"/>
    </xf>
    <xf numFmtId="0" fontId="40" fillId="0" borderId="0" xfId="0" applyFont="1"/>
    <xf numFmtId="0" fontId="15" fillId="0" borderId="0" xfId="0" applyFont="1" applyAlignment="1">
      <alignment horizontal="left" vertical="center" wrapText="1"/>
    </xf>
    <xf numFmtId="0" fontId="0" fillId="0" borderId="0" xfId="0" applyAlignment="1">
      <alignment horizontal="center" vertical="top" wrapText="1"/>
    </xf>
    <xf numFmtId="0" fontId="0" fillId="0" borderId="68" xfId="0" applyBorder="1" applyAlignment="1">
      <alignment horizontal="center" vertical="center" wrapText="1"/>
    </xf>
    <xf numFmtId="0" fontId="0" fillId="0" borderId="69"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wrapText="1"/>
    </xf>
    <xf numFmtId="0" fontId="0" fillId="0" borderId="64" xfId="0" applyBorder="1" applyAlignment="1">
      <alignment horizontal="center" vertical="center"/>
    </xf>
    <xf numFmtId="0" fontId="0" fillId="0" borderId="61" xfId="0" applyBorder="1" applyAlignment="1">
      <alignment horizontal="center" vertical="center"/>
    </xf>
    <xf numFmtId="0" fontId="47" fillId="0" borderId="0" xfId="0" applyFont="1"/>
    <xf numFmtId="0" fontId="48" fillId="0" borderId="0" xfId="0" applyFont="1"/>
    <xf numFmtId="0" fontId="50" fillId="0" borderId="16" xfId="0" applyFont="1" applyBorder="1" applyAlignment="1">
      <alignment vertical="top" wrapText="1"/>
    </xf>
    <xf numFmtId="0" fontId="46" fillId="0" borderId="16" xfId="0" applyFont="1" applyBorder="1" applyAlignment="1">
      <alignment vertical="top" wrapText="1"/>
    </xf>
    <xf numFmtId="0" fontId="5" fillId="0" borderId="16" xfId="0" applyFont="1" applyBorder="1"/>
    <xf numFmtId="0" fontId="46" fillId="0" borderId="65" xfId="0" applyFont="1" applyBorder="1" applyAlignment="1">
      <alignment horizontal="center" vertical="center" wrapText="1"/>
    </xf>
    <xf numFmtId="0" fontId="46" fillId="0" borderId="66" xfId="0" applyFont="1" applyBorder="1" applyAlignment="1">
      <alignment horizontal="center" vertical="center" wrapText="1"/>
    </xf>
    <xf numFmtId="0" fontId="50" fillId="0" borderId="66" xfId="0" applyFont="1" applyBorder="1" applyAlignment="1">
      <alignment horizontal="center" vertical="center" wrapText="1"/>
    </xf>
    <xf numFmtId="0" fontId="5" fillId="0" borderId="67" xfId="0" applyFont="1" applyBorder="1"/>
    <xf numFmtId="0" fontId="49" fillId="0" borderId="16" xfId="0" applyFont="1" applyBorder="1" applyAlignment="1">
      <alignment vertical="center" wrapText="1"/>
    </xf>
    <xf numFmtId="0" fontId="52" fillId="0" borderId="16" xfId="0" applyFont="1" applyBorder="1" applyAlignment="1">
      <alignment wrapText="1"/>
    </xf>
    <xf numFmtId="0" fontId="51" fillId="0" borderId="16" xfId="0" applyFont="1" applyBorder="1" applyAlignment="1">
      <alignment wrapText="1"/>
    </xf>
    <xf numFmtId="0" fontId="53" fillId="0" borderId="16" xfId="0" applyFont="1" applyBorder="1" applyAlignment="1">
      <alignment wrapText="1"/>
    </xf>
    <xf numFmtId="0" fontId="54" fillId="0" borderId="16" xfId="0" applyFont="1" applyBorder="1" applyAlignment="1">
      <alignment wrapText="1"/>
    </xf>
    <xf numFmtId="0" fontId="46" fillId="0" borderId="16" xfId="0" applyFont="1" applyBorder="1" applyAlignment="1">
      <alignment vertical="center" wrapText="1"/>
    </xf>
    <xf numFmtId="0" fontId="9" fillId="0" borderId="0" xfId="0" applyFont="1" applyAlignment="1">
      <alignment horizontal="left" vertical="center" wrapText="1"/>
    </xf>
    <xf numFmtId="0" fontId="51" fillId="0" borderId="0" xfId="0" applyFont="1" applyAlignment="1">
      <alignment vertical="center" wrapText="1"/>
    </xf>
    <xf numFmtId="0" fontId="50" fillId="0" borderId="0" xfId="0" applyFont="1" applyAlignment="1">
      <alignment vertical="center" wrapText="1"/>
    </xf>
    <xf numFmtId="0" fontId="57" fillId="0" borderId="0" xfId="0" applyFont="1" applyAlignment="1">
      <alignment vertical="center" wrapText="1"/>
    </xf>
    <xf numFmtId="0" fontId="10" fillId="0" borderId="0" xfId="0" applyFont="1" applyAlignment="1">
      <alignment horizontal="left" vertical="center" wrapText="1"/>
    </xf>
    <xf numFmtId="0" fontId="59" fillId="0" borderId="16" xfId="0" applyFont="1" applyBorder="1" applyAlignment="1">
      <alignment horizontal="left" vertical="center" wrapText="1" readingOrder="1"/>
    </xf>
    <xf numFmtId="0" fontId="61" fillId="0" borderId="0" xfId="0" applyFont="1" applyAlignment="1">
      <alignment horizontal="center" vertical="center" textRotation="90" wrapText="1"/>
    </xf>
    <xf numFmtId="0" fontId="62" fillId="0" borderId="0" xfId="0" applyFont="1"/>
    <xf numFmtId="0" fontId="0" fillId="0" borderId="0" xfId="0" applyAlignment="1">
      <alignment wrapText="1"/>
    </xf>
    <xf numFmtId="0" fontId="0" fillId="0" borderId="0" xfId="0"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vertical="center" wrapText="1"/>
    </xf>
    <xf numFmtId="0" fontId="0" fillId="0" borderId="10" xfId="0" applyBorder="1" applyAlignment="1">
      <alignment vertical="center" wrapText="1"/>
    </xf>
    <xf numFmtId="0" fontId="14" fillId="18" borderId="16" xfId="5" applyFont="1" applyFill="1" applyBorder="1" applyAlignment="1">
      <alignment horizontal="center" vertical="center"/>
    </xf>
    <xf numFmtId="0" fontId="5" fillId="18" borderId="16" xfId="5" applyFont="1" applyFill="1" applyBorder="1" applyAlignment="1">
      <alignment vertical="center" wrapText="1"/>
    </xf>
    <xf numFmtId="0" fontId="14" fillId="7" borderId="16" xfId="5" applyFont="1" applyFill="1" applyBorder="1" applyAlignment="1">
      <alignment horizontal="center" vertical="center"/>
    </xf>
    <xf numFmtId="0" fontId="5" fillId="7" borderId="16" xfId="5" applyFont="1" applyFill="1" applyBorder="1" applyAlignment="1">
      <alignment horizontal="left" vertical="center" wrapText="1"/>
    </xf>
    <xf numFmtId="0" fontId="5" fillId="7" borderId="16" xfId="5" applyFont="1" applyFill="1" applyBorder="1" applyAlignment="1">
      <alignment vertical="center"/>
    </xf>
    <xf numFmtId="0" fontId="14" fillId="19" borderId="16" xfId="5" applyFont="1" applyFill="1" applyBorder="1" applyAlignment="1">
      <alignment horizontal="center" vertical="center"/>
    </xf>
    <xf numFmtId="0" fontId="5" fillId="19" borderId="16" xfId="5" applyFont="1" applyFill="1" applyBorder="1" applyAlignment="1">
      <alignment horizontal="left" vertical="center" wrapText="1"/>
    </xf>
    <xf numFmtId="0" fontId="5" fillId="19" borderId="16" xfId="5" applyFont="1" applyFill="1" applyBorder="1" applyAlignment="1">
      <alignment vertical="center" wrapText="1"/>
    </xf>
    <xf numFmtId="0" fontId="5" fillId="20" borderId="16" xfId="5" applyFont="1" applyFill="1" applyBorder="1" applyAlignment="1">
      <alignment vertical="center"/>
    </xf>
    <xf numFmtId="0" fontId="14" fillId="16" borderId="16" xfId="5" applyFont="1" applyFill="1" applyBorder="1" applyAlignment="1">
      <alignment horizontal="center" vertical="center"/>
    </xf>
    <xf numFmtId="0" fontId="14" fillId="17" borderId="16" xfId="5" applyFont="1" applyFill="1" applyBorder="1" applyAlignment="1">
      <alignment horizontal="center" vertical="center"/>
    </xf>
    <xf numFmtId="0" fontId="5" fillId="18" borderId="16" xfId="5" applyFont="1" applyFill="1" applyBorder="1" applyAlignment="1">
      <alignment horizontal="center" vertical="center" wrapText="1"/>
    </xf>
    <xf numFmtId="0" fontId="5" fillId="16" borderId="16" xfId="5" applyFont="1" applyFill="1" applyBorder="1" applyAlignment="1">
      <alignment horizontal="center" vertical="center" wrapText="1"/>
    </xf>
    <xf numFmtId="0" fontId="5" fillId="16" borderId="16" xfId="5" applyFont="1" applyFill="1" applyBorder="1" applyAlignment="1">
      <alignment horizontal="left" vertical="center"/>
    </xf>
    <xf numFmtId="0" fontId="5" fillId="17" borderId="16" xfId="5" applyFont="1" applyFill="1" applyBorder="1" applyAlignment="1">
      <alignment horizontal="center" vertical="center" wrapText="1"/>
    </xf>
    <xf numFmtId="0" fontId="5" fillId="17" borderId="16" xfId="5" applyFont="1" applyFill="1" applyBorder="1" applyAlignment="1">
      <alignment horizontal="left" vertical="center"/>
    </xf>
    <xf numFmtId="0" fontId="5" fillId="0" borderId="0" xfId="0" applyFont="1" applyAlignment="1">
      <alignment wrapText="1"/>
    </xf>
    <xf numFmtId="0" fontId="63" fillId="0" borderId="0" xfId="0" applyFont="1" applyAlignment="1">
      <alignment vertical="center" wrapText="1"/>
    </xf>
    <xf numFmtId="0" fontId="37" fillId="0" borderId="16" xfId="0" applyFont="1" applyBorder="1" applyAlignment="1">
      <alignment vertical="center" wrapText="1"/>
    </xf>
    <xf numFmtId="0" fontId="7" fillId="0" borderId="16" xfId="0" applyFont="1" applyBorder="1" applyAlignment="1">
      <alignment vertical="center"/>
    </xf>
    <xf numFmtId="0" fontId="7" fillId="0" borderId="16" xfId="0" applyFont="1" applyBorder="1" applyAlignment="1">
      <alignment vertical="center" wrapText="1"/>
    </xf>
    <xf numFmtId="0" fontId="7" fillId="0" borderId="17" xfId="0" applyFont="1" applyBorder="1" applyAlignment="1">
      <alignment vertical="center"/>
    </xf>
    <xf numFmtId="0" fontId="49" fillId="0" borderId="0" xfId="0" applyFont="1" applyAlignment="1">
      <alignment horizontal="left" vertical="center" wrapText="1"/>
    </xf>
    <xf numFmtId="0" fontId="49" fillId="0" borderId="0" xfId="0" applyFont="1" applyAlignment="1">
      <alignment horizontal="left" vertical="center"/>
    </xf>
    <xf numFmtId="0" fontId="49" fillId="0" borderId="0" xfId="0" applyFont="1" applyAlignment="1">
      <alignment wrapText="1"/>
    </xf>
    <xf numFmtId="0" fontId="39" fillId="0" borderId="0" xfId="0" applyFont="1"/>
    <xf numFmtId="0" fontId="17" fillId="0" borderId="0" xfId="3"/>
    <xf numFmtId="0" fontId="66" fillId="0" borderId="0" xfId="0" applyFont="1"/>
    <xf numFmtId="0" fontId="67" fillId="0" borderId="0" xfId="0" applyFont="1"/>
    <xf numFmtId="0" fontId="34" fillId="5" borderId="26" xfId="2" applyFont="1" applyFill="1" applyBorder="1" applyAlignment="1">
      <alignment horizontal="center" vertical="center" wrapText="1"/>
    </xf>
    <xf numFmtId="0" fontId="69" fillId="0" borderId="0" xfId="0" applyFont="1" applyAlignment="1">
      <alignment vertical="center" wrapText="1"/>
    </xf>
    <xf numFmtId="0" fontId="14" fillId="5" borderId="16" xfId="5" applyFont="1" applyFill="1" applyBorder="1" applyAlignment="1">
      <alignment horizontal="center" vertical="center"/>
    </xf>
    <xf numFmtId="0" fontId="7" fillId="5" borderId="16" xfId="5" applyFont="1" applyFill="1" applyBorder="1" applyAlignment="1">
      <alignment horizontal="left" vertical="center" wrapText="1"/>
    </xf>
    <xf numFmtId="0" fontId="7" fillId="5" borderId="16" xfId="5" applyFont="1" applyFill="1" applyBorder="1" applyAlignment="1">
      <alignment vertical="center" wrapText="1"/>
    </xf>
    <xf numFmtId="0" fontId="7" fillId="0" borderId="5" xfId="2" applyFont="1" applyBorder="1" applyAlignment="1">
      <alignment vertical="center" wrapText="1"/>
    </xf>
    <xf numFmtId="0" fontId="0" fillId="0" borderId="0" xfId="0" applyFill="1"/>
    <xf numFmtId="0" fontId="0" fillId="5" borderId="0" xfId="0" applyFill="1" applyBorder="1"/>
    <xf numFmtId="0" fontId="5" fillId="7" borderId="16" xfId="5" applyFont="1" applyFill="1" applyBorder="1" applyAlignment="1">
      <alignment horizontal="center" vertical="center" wrapText="1"/>
    </xf>
    <xf numFmtId="0" fontId="5" fillId="7" borderId="16" xfId="5" applyFont="1" applyFill="1" applyBorder="1" applyAlignment="1">
      <alignment horizontal="left" vertical="center"/>
    </xf>
    <xf numFmtId="0" fontId="7" fillId="5" borderId="29" xfId="2" applyFont="1" applyFill="1" applyBorder="1" applyAlignment="1">
      <alignment vertical="center" wrapText="1"/>
    </xf>
    <xf numFmtId="0" fontId="7" fillId="5" borderId="30" xfId="2" quotePrefix="1" applyFont="1" applyFill="1" applyBorder="1" applyAlignment="1">
      <alignment vertical="center" wrapText="1"/>
    </xf>
    <xf numFmtId="0" fontId="28" fillId="0" borderId="26" xfId="0" applyFont="1" applyBorder="1" applyAlignment="1">
      <alignment horizontal="left" vertical="center" wrapText="1"/>
    </xf>
    <xf numFmtId="0" fontId="5" fillId="0" borderId="29" xfId="2" applyFont="1" applyFill="1" applyBorder="1" applyAlignment="1">
      <alignment horizontal="center" vertical="center" wrapText="1"/>
    </xf>
    <xf numFmtId="0" fontId="5" fillId="0" borderId="29" xfId="2" applyFont="1" applyFill="1" applyBorder="1" applyAlignment="1">
      <alignment horizontal="left" vertical="center" wrapText="1"/>
    </xf>
    <xf numFmtId="0" fontId="5" fillId="0" borderId="30" xfId="2" applyFont="1" applyFill="1" applyBorder="1" applyAlignment="1">
      <alignment horizontal="left" vertical="center" wrapText="1"/>
    </xf>
    <xf numFmtId="0" fontId="71" fillId="0" borderId="0" xfId="0" applyFont="1"/>
    <xf numFmtId="0" fontId="16" fillId="0" borderId="4" xfId="0" applyFont="1" applyBorder="1" applyAlignment="1">
      <alignment horizontal="center"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28" fillId="0" borderId="26" xfId="0" quotePrefix="1" applyFont="1" applyBorder="1" applyAlignment="1">
      <alignment horizontal="left" vertical="center" wrapText="1"/>
    </xf>
    <xf numFmtId="0" fontId="28" fillId="0" borderId="27" xfId="0" quotePrefix="1" applyFont="1" applyBorder="1" applyAlignment="1">
      <alignment horizontal="left" vertical="center" wrapText="1"/>
    </xf>
    <xf numFmtId="0" fontId="5" fillId="5" borderId="27" xfId="2" quotePrefix="1" applyFont="1" applyFill="1" applyBorder="1" applyAlignment="1">
      <alignment vertical="center" wrapText="1"/>
    </xf>
    <xf numFmtId="0" fontId="7" fillId="0" borderId="26" xfId="2" applyFont="1" applyBorder="1" applyAlignment="1">
      <alignment vertical="center" wrapText="1"/>
    </xf>
    <xf numFmtId="1" fontId="7" fillId="0" borderId="1" xfId="2" applyNumberFormat="1" applyFont="1" applyBorder="1" applyAlignment="1">
      <alignment horizontal="center" vertical="center" wrapText="1"/>
    </xf>
    <xf numFmtId="1" fontId="7" fillId="0" borderId="8" xfId="2" applyNumberFormat="1" applyFont="1" applyBorder="1" applyAlignment="1">
      <alignment horizontal="center" vertical="center" wrapText="1"/>
    </xf>
    <xf numFmtId="0" fontId="74" fillId="0" borderId="0" xfId="3" applyFont="1"/>
    <xf numFmtId="0" fontId="47" fillId="0" borderId="0" xfId="0" applyFont="1" applyAlignment="1"/>
    <xf numFmtId="0" fontId="47" fillId="0" borderId="0" xfId="0" quotePrefix="1" applyFont="1" applyAlignment="1">
      <alignment wrapText="1"/>
    </xf>
    <xf numFmtId="0" fontId="74" fillId="0" borderId="0" xfId="3" quotePrefix="1" applyFont="1"/>
    <xf numFmtId="0" fontId="26" fillId="0" borderId="30" xfId="0" quotePrefix="1" applyFont="1" applyBorder="1" applyAlignment="1">
      <alignment horizontal="left" vertical="center" wrapText="1"/>
    </xf>
    <xf numFmtId="0" fontId="15" fillId="0" borderId="0" xfId="0" applyFont="1" applyFill="1" applyAlignment="1">
      <alignment vertical="center"/>
    </xf>
    <xf numFmtId="0" fontId="28" fillId="0" borderId="30" xfId="0" applyFont="1" applyBorder="1" applyAlignment="1">
      <alignment horizontal="left" vertical="center" wrapText="1"/>
    </xf>
    <xf numFmtId="0" fontId="26" fillId="0" borderId="33" xfId="0" applyFont="1" applyFill="1" applyBorder="1" applyAlignment="1">
      <alignment horizontal="left" vertical="center" wrapText="1"/>
    </xf>
    <xf numFmtId="0" fontId="7" fillId="0" borderId="30" xfId="2" quotePrefix="1" applyFont="1" applyFill="1" applyBorder="1" applyAlignment="1">
      <alignment vertical="center" wrapText="1"/>
    </xf>
    <xf numFmtId="0" fontId="7" fillId="0" borderId="29" xfId="2" quotePrefix="1" applyFont="1" applyFill="1" applyBorder="1" applyAlignment="1">
      <alignment vertical="center" wrapText="1"/>
    </xf>
    <xf numFmtId="0" fontId="5" fillId="0" borderId="26" xfId="2" quotePrefix="1" applyFont="1" applyFill="1" applyBorder="1" applyAlignment="1">
      <alignment vertical="center" wrapText="1"/>
    </xf>
    <xf numFmtId="0" fontId="5" fillId="0" borderId="2" xfId="0" applyFont="1" applyBorder="1"/>
    <xf numFmtId="0" fontId="5" fillId="0" borderId="5" xfId="0" applyFont="1" applyBorder="1"/>
    <xf numFmtId="0" fontId="5" fillId="0" borderId="6" xfId="0" applyFont="1" applyBorder="1" applyAlignment="1">
      <alignment wrapText="1"/>
    </xf>
    <xf numFmtId="0" fontId="5" fillId="0" borderId="10" xfId="2" quotePrefix="1" applyFont="1" applyBorder="1" applyAlignment="1">
      <alignment vertical="center" wrapText="1"/>
    </xf>
    <xf numFmtId="0" fontId="7" fillId="0" borderId="29" xfId="0" quotePrefix="1" applyFont="1" applyBorder="1" applyAlignment="1">
      <alignment vertical="center" wrapText="1"/>
    </xf>
    <xf numFmtId="1" fontId="0" fillId="0" borderId="31" xfId="1" applyNumberFormat="1" applyFont="1" applyBorder="1" applyAlignment="1">
      <alignment horizontal="center" vertical="center"/>
    </xf>
    <xf numFmtId="0" fontId="26" fillId="0" borderId="29"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26" xfId="0" applyFont="1" applyBorder="1" applyAlignment="1">
      <alignment horizontal="center" vertical="center" wrapText="1"/>
    </xf>
    <xf numFmtId="0" fontId="7" fillId="5" borderId="29" xfId="2" quotePrefix="1" applyFont="1" applyFill="1" applyBorder="1" applyAlignment="1">
      <alignment vertical="center" wrapText="1"/>
    </xf>
    <xf numFmtId="0" fontId="0" fillId="0" borderId="5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56" xfId="0" applyBorder="1" applyAlignment="1">
      <alignment vertical="center" wrapText="1"/>
    </xf>
    <xf numFmtId="0" fontId="0" fillId="0" borderId="19" xfId="0" applyBorder="1" applyAlignment="1">
      <alignment vertical="center" wrapText="1"/>
    </xf>
    <xf numFmtId="0" fontId="65" fillId="0" borderId="0" xfId="0" applyFont="1" applyBorder="1" applyAlignment="1">
      <alignment vertical="center" wrapText="1"/>
    </xf>
    <xf numFmtId="0" fontId="65" fillId="0" borderId="79" xfId="0" applyFont="1" applyBorder="1" applyAlignment="1">
      <alignment vertical="center" wrapText="1"/>
    </xf>
    <xf numFmtId="0" fontId="0" fillId="0" borderId="23" xfId="0" applyBorder="1" applyAlignment="1">
      <alignment horizontal="center" vertical="center" wrapText="1"/>
    </xf>
    <xf numFmtId="0" fontId="0" fillId="0" borderId="39" xfId="0" applyBorder="1" applyAlignment="1">
      <alignment vertical="center" wrapText="1"/>
    </xf>
    <xf numFmtId="0" fontId="0" fillId="0" borderId="77" xfId="0" applyBorder="1" applyAlignment="1">
      <alignment vertical="center" wrapText="1"/>
    </xf>
    <xf numFmtId="0" fontId="5" fillId="0" borderId="16" xfId="0" applyFont="1" applyBorder="1" applyAlignment="1">
      <alignment wrapText="1"/>
    </xf>
    <xf numFmtId="0" fontId="46" fillId="0" borderId="16" xfId="0" applyFont="1" applyBorder="1" applyAlignment="1">
      <alignment wrapText="1"/>
    </xf>
    <xf numFmtId="0" fontId="10" fillId="0" borderId="0" xfId="2" applyFont="1" applyAlignment="1">
      <alignment horizontal="center" vertical="center" wrapText="1"/>
    </xf>
    <xf numFmtId="0" fontId="10" fillId="0" borderId="0" xfId="0" applyFont="1" applyAlignment="1">
      <alignment horizontal="center" vertical="center"/>
    </xf>
    <xf numFmtId="0" fontId="32" fillId="0" borderId="0" xfId="0" applyFont="1" applyAlignment="1">
      <alignment horizontal="center" vertical="center"/>
    </xf>
    <xf numFmtId="0" fontId="39" fillId="0" borderId="0" xfId="0" applyFont="1" applyAlignment="1">
      <alignment horizontal="center"/>
    </xf>
    <xf numFmtId="0" fontId="39" fillId="0" borderId="0" xfId="0" applyFont="1" applyFill="1" applyBorder="1" applyAlignment="1">
      <alignment horizontal="center" vertical="center" wrapText="1"/>
    </xf>
    <xf numFmtId="0" fontId="26" fillId="0" borderId="29" xfId="0" quotePrefix="1" applyFont="1" applyBorder="1" applyAlignment="1">
      <alignment horizontal="left" vertical="center" wrapText="1"/>
    </xf>
    <xf numFmtId="0" fontId="26" fillId="0" borderId="32" xfId="0" quotePrefix="1" applyFont="1" applyBorder="1" applyAlignment="1">
      <alignment horizontal="left" vertical="center" wrapText="1"/>
    </xf>
    <xf numFmtId="0" fontId="34" fillId="0" borderId="26" xfId="2"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14" borderId="2" xfId="0" applyFont="1" applyFill="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7" fillId="14" borderId="5"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14" borderId="9" xfId="0" applyFont="1" applyFill="1" applyBorder="1" applyAlignment="1">
      <alignment horizontal="left" vertical="center" wrapText="1"/>
    </xf>
    <xf numFmtId="0" fontId="5" fillId="0" borderId="9" xfId="0" applyFont="1" applyBorder="1" applyAlignment="1">
      <alignment vertical="center" wrapText="1"/>
    </xf>
    <xf numFmtId="0" fontId="5" fillId="0" borderId="10"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0" fillId="5" borderId="0" xfId="0" applyFill="1" applyBorder="1" applyAlignment="1">
      <alignment horizontal="center" vertical="center" wrapText="1"/>
    </xf>
    <xf numFmtId="0" fontId="7" fillId="5" borderId="0" xfId="0" applyFont="1" applyFill="1" applyBorder="1" applyAlignment="1">
      <alignment horizontal="left" vertical="center" wrapText="1"/>
    </xf>
    <xf numFmtId="0" fontId="5" fillId="5" borderId="0" xfId="0" applyFont="1" applyFill="1" applyBorder="1" applyAlignment="1">
      <alignment vertical="center" wrapText="1"/>
    </xf>
    <xf numFmtId="0" fontId="5" fillId="5" borderId="0" xfId="0" applyFont="1" applyFill="1" applyBorder="1" applyAlignment="1">
      <alignment horizontal="center" vertical="center" wrapText="1"/>
    </xf>
    <xf numFmtId="0" fontId="5" fillId="0" borderId="5" xfId="0" quotePrefix="1" applyFont="1" applyBorder="1" applyAlignment="1">
      <alignment horizontal="center" vertical="center" wrapText="1"/>
    </xf>
    <xf numFmtId="0" fontId="5" fillId="0" borderId="6" xfId="0" quotePrefix="1" applyFont="1" applyBorder="1" applyAlignment="1">
      <alignment horizontal="center" vertical="center" wrapText="1"/>
    </xf>
    <xf numFmtId="9" fontId="5" fillId="0" borderId="5" xfId="0" applyNumberFormat="1" applyFont="1" applyBorder="1" applyAlignment="1">
      <alignment horizontal="center" vertical="center" wrapText="1"/>
    </xf>
    <xf numFmtId="9" fontId="5" fillId="0" borderId="6" xfId="0" applyNumberFormat="1"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7" fillId="14" borderId="5" xfId="0" quotePrefix="1" applyFont="1" applyFill="1" applyBorder="1" applyAlignment="1">
      <alignment horizontal="left" vertical="center" wrapText="1"/>
    </xf>
    <xf numFmtId="0" fontId="5" fillId="0" borderId="45" xfId="0" quotePrefix="1" applyFont="1" applyBorder="1" applyAlignment="1">
      <alignment horizontal="center" vertical="center" wrapText="1"/>
    </xf>
    <xf numFmtId="9" fontId="5" fillId="0" borderId="45" xfId="0" applyNumberFormat="1" applyFont="1" applyBorder="1" applyAlignment="1">
      <alignment horizontal="center" vertical="center" wrapText="1"/>
    </xf>
    <xf numFmtId="0" fontId="5" fillId="0" borderId="45" xfId="0" applyFont="1" applyBorder="1" applyAlignment="1">
      <alignment vertical="center" wrapText="1"/>
    </xf>
    <xf numFmtId="0" fontId="5" fillId="0" borderId="2" xfId="0" applyFont="1" applyBorder="1" applyAlignment="1">
      <alignment wrapText="1"/>
    </xf>
    <xf numFmtId="0" fontId="5" fillId="0" borderId="2" xfId="0" applyFont="1" applyBorder="1" applyAlignment="1">
      <alignment horizontal="center"/>
    </xf>
    <xf numFmtId="0" fontId="5" fillId="0" borderId="5" xfId="0" quotePrefix="1" applyFont="1" applyFill="1" applyBorder="1" applyAlignment="1">
      <alignment vertical="center" wrapText="1"/>
    </xf>
    <xf numFmtId="0" fontId="5" fillId="0" borderId="5" xfId="0" quotePrefix="1" applyFont="1" applyBorder="1" applyAlignment="1">
      <alignment vertical="center" wrapText="1"/>
    </xf>
    <xf numFmtId="0" fontId="5" fillId="0" borderId="5" xfId="0" quotePrefix="1" applyFont="1" applyBorder="1" applyAlignment="1">
      <alignment horizontal="left" vertical="center" wrapText="1"/>
    </xf>
    <xf numFmtId="0" fontId="5" fillId="0" borderId="6" xfId="0" quotePrefix="1" applyFont="1" applyBorder="1" applyAlignment="1">
      <alignment horizontal="left" vertical="center" wrapText="1"/>
    </xf>
    <xf numFmtId="0" fontId="5" fillId="0" borderId="45" xfId="0" quotePrefix="1" applyFont="1" applyBorder="1" applyAlignment="1">
      <alignment horizontal="left" vertical="center" wrapText="1"/>
    </xf>
    <xf numFmtId="0" fontId="5" fillId="0" borderId="4" xfId="0" quotePrefix="1" applyFont="1" applyBorder="1" applyAlignment="1">
      <alignment horizontal="left" vertical="center" wrapText="1"/>
    </xf>
    <xf numFmtId="0" fontId="0" fillId="0" borderId="0" xfId="0" applyFill="1" applyBorder="1" applyAlignment="1">
      <alignment horizontal="center" vertical="center" wrapText="1"/>
    </xf>
    <xf numFmtId="0" fontId="7"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9" xfId="0" applyFont="1" applyBorder="1" applyAlignment="1">
      <alignment horizontal="left" vertical="center" wrapText="1"/>
    </xf>
    <xf numFmtId="0" fontId="5" fillId="5" borderId="0" xfId="0" applyFont="1" applyFill="1" applyBorder="1" applyAlignment="1">
      <alignment horizontal="left" vertical="center" wrapText="1"/>
    </xf>
    <xf numFmtId="9" fontId="5" fillId="0" borderId="5" xfId="0" applyNumberFormat="1" applyFont="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9" fontId="5" fillId="0" borderId="4" xfId="0" applyNumberFormat="1" applyFont="1" applyBorder="1" applyAlignment="1">
      <alignment horizontal="left" vertical="center" wrapText="1"/>
    </xf>
    <xf numFmtId="0" fontId="5" fillId="0" borderId="9" xfId="0" applyFont="1" applyFill="1" applyBorder="1" applyAlignment="1">
      <alignment vertical="center" wrapText="1"/>
    </xf>
    <xf numFmtId="0" fontId="5" fillId="0" borderId="2" xfId="0" applyFont="1" applyFill="1" applyBorder="1" applyAlignment="1">
      <alignment vertical="center" wrapText="1"/>
    </xf>
    <xf numFmtId="0" fontId="0" fillId="0" borderId="0" xfId="0" applyFill="1" applyAlignment="1">
      <alignment horizontal="center" vertical="center"/>
    </xf>
    <xf numFmtId="0" fontId="3" fillId="0" borderId="0" xfId="0" applyFont="1" applyAlignment="1">
      <alignment horizontal="center"/>
    </xf>
    <xf numFmtId="10" fontId="14" fillId="14" borderId="2" xfId="1" applyNumberFormat="1" applyFont="1" applyFill="1" applyBorder="1" applyAlignment="1">
      <alignment horizontal="center" vertical="center" wrapText="1"/>
    </xf>
    <xf numFmtId="10" fontId="14" fillId="14" borderId="5" xfId="1" applyNumberFormat="1" applyFont="1" applyFill="1" applyBorder="1" applyAlignment="1">
      <alignment horizontal="center" vertical="center" wrapText="1"/>
    </xf>
    <xf numFmtId="10" fontId="14" fillId="14" borderId="9" xfId="1" applyNumberFormat="1" applyFont="1" applyFill="1" applyBorder="1" applyAlignment="1">
      <alignment horizontal="center" vertical="center" wrapText="1"/>
    </xf>
    <xf numFmtId="10" fontId="14" fillId="5" borderId="0" xfId="1" applyNumberFormat="1" applyFont="1" applyFill="1" applyBorder="1" applyAlignment="1">
      <alignment horizontal="center" vertical="center" wrapText="1"/>
    </xf>
    <xf numFmtId="10" fontId="14" fillId="0" borderId="0" xfId="1" applyNumberFormat="1" applyFont="1" applyFill="1" applyBorder="1" applyAlignment="1">
      <alignment horizontal="center" vertical="center" wrapText="1"/>
    </xf>
    <xf numFmtId="9" fontId="3" fillId="0" borderId="0" xfId="1" applyFont="1" applyAlignment="1">
      <alignment horizontal="center"/>
    </xf>
    <xf numFmtId="0" fontId="5" fillId="0" borderId="2"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45" xfId="0" applyFont="1" applyBorder="1" applyAlignment="1">
      <alignment horizontal="center" vertical="center"/>
    </xf>
    <xf numFmtId="0" fontId="5" fillId="0" borderId="5" xfId="0" applyFont="1" applyBorder="1" applyAlignment="1">
      <alignment wrapText="1"/>
    </xf>
    <xf numFmtId="0" fontId="5" fillId="0" borderId="5" xfId="0" applyFont="1" applyBorder="1" applyAlignment="1">
      <alignment horizontal="center"/>
    </xf>
    <xf numFmtId="0" fontId="8" fillId="0" borderId="0" xfId="0" applyFont="1" applyAlignment="1">
      <alignment horizontal="center"/>
    </xf>
    <xf numFmtId="0" fontId="8" fillId="0" borderId="0" xfId="0" applyFont="1"/>
    <xf numFmtId="0" fontId="3" fillId="21" borderId="83" xfId="0" applyFont="1" applyFill="1" applyBorder="1" applyAlignment="1">
      <alignment horizontal="center" vertical="center" wrapText="1"/>
    </xf>
    <xf numFmtId="0" fontId="3" fillId="21" borderId="54" xfId="0" applyFont="1" applyFill="1" applyBorder="1" applyAlignment="1">
      <alignment horizontal="center" vertical="center" wrapText="1"/>
    </xf>
    <xf numFmtId="0" fontId="3" fillId="21" borderId="57" xfId="0" applyFont="1" applyFill="1" applyBorder="1" applyAlignment="1">
      <alignment horizontal="center" vertical="center" wrapText="1"/>
    </xf>
    <xf numFmtId="0" fontId="3" fillId="21" borderId="81" xfId="0" applyFont="1" applyFill="1" applyBorder="1" applyAlignment="1">
      <alignment horizontal="center" vertical="center" wrapText="1"/>
    </xf>
    <xf numFmtId="0" fontId="3" fillId="21" borderId="80" xfId="0" applyFont="1" applyFill="1" applyBorder="1" applyAlignment="1">
      <alignment horizontal="center" vertical="center" wrapText="1"/>
    </xf>
    <xf numFmtId="0" fontId="3" fillId="21" borderId="8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xf numFmtId="0" fontId="0" fillId="0" borderId="0" xfId="0" applyFill="1" applyBorder="1"/>
    <xf numFmtId="0" fontId="79" fillId="0" borderId="0" xfId="0" applyFont="1" applyAlignment="1">
      <alignment horizontal="center" vertical="center" wrapText="1"/>
    </xf>
    <xf numFmtId="0" fontId="79" fillId="0" borderId="0" xfId="2" applyFont="1" applyAlignment="1">
      <alignment horizontal="left" vertical="center" wrapText="1"/>
    </xf>
    <xf numFmtId="0" fontId="79" fillId="0" borderId="0" xfId="0" applyFont="1"/>
    <xf numFmtId="0" fontId="79" fillId="0" borderId="0" xfId="0" applyFont="1" applyAlignment="1">
      <alignment vertical="center"/>
    </xf>
    <xf numFmtId="0" fontId="79" fillId="5" borderId="0" xfId="0" applyFont="1" applyFill="1" applyAlignment="1">
      <alignment horizontal="center" vertical="center" wrapText="1"/>
    </xf>
    <xf numFmtId="0" fontId="79" fillId="5" borderId="0" xfId="2" applyFont="1" applyFill="1" applyAlignment="1">
      <alignment horizontal="left" vertical="center" wrapText="1"/>
    </xf>
    <xf numFmtId="0" fontId="79" fillId="5" borderId="0" xfId="0" applyFont="1" applyFill="1"/>
    <xf numFmtId="0" fontId="80" fillId="0" borderId="0" xfId="0" applyFont="1"/>
    <xf numFmtId="0" fontId="80" fillId="0" borderId="0" xfId="0" applyFont="1" applyAlignment="1">
      <alignment horizontal="center" vertical="center" wrapText="1"/>
    </xf>
    <xf numFmtId="0" fontId="77" fillId="0" borderId="0" xfId="0" applyFont="1"/>
    <xf numFmtId="0" fontId="5" fillId="0" borderId="32" xfId="2" applyFont="1" applyFill="1" applyBorder="1" applyAlignment="1">
      <alignment horizontal="center" vertical="center" wrapText="1"/>
    </xf>
    <xf numFmtId="0" fontId="5" fillId="0" borderId="32" xfId="2" applyFont="1" applyFill="1" applyBorder="1" applyAlignment="1">
      <alignment horizontal="left" vertical="center" wrapText="1"/>
    </xf>
    <xf numFmtId="0" fontId="5" fillId="0" borderId="33" xfId="2" applyFont="1" applyFill="1" applyBorder="1" applyAlignment="1">
      <alignment horizontal="left" vertical="center" wrapText="1"/>
    </xf>
    <xf numFmtId="0" fontId="77" fillId="0" borderId="0" xfId="0" applyFont="1" applyAlignment="1">
      <alignment horizontal="center" vertical="center"/>
    </xf>
    <xf numFmtId="0" fontId="79" fillId="0" borderId="0" xfId="2" applyFont="1" applyAlignment="1">
      <alignment horizontal="center" vertical="center" wrapText="1"/>
    </xf>
    <xf numFmtId="0" fontId="77" fillId="0" borderId="0" xfId="0" applyFont="1" applyAlignment="1">
      <alignment vertical="center"/>
    </xf>
    <xf numFmtId="0" fontId="81" fillId="0" borderId="0" xfId="0" applyFont="1" applyAlignment="1">
      <alignment horizontal="center" vertical="center" wrapText="1"/>
    </xf>
    <xf numFmtId="0" fontId="16" fillId="0" borderId="0" xfId="0" applyFont="1" applyAlignment="1">
      <alignment horizontal="center"/>
    </xf>
    <xf numFmtId="0" fontId="5" fillId="4" borderId="0" xfId="2" applyFont="1" applyFill="1" applyAlignment="1">
      <alignment horizontal="center" vertical="center" wrapText="1"/>
    </xf>
    <xf numFmtId="0" fontId="2" fillId="2" borderId="0" xfId="2" applyFont="1" applyFill="1" applyAlignment="1">
      <alignment horizontal="center" vertical="center" wrapText="1"/>
    </xf>
    <xf numFmtId="0" fontId="10" fillId="0" borderId="0" xfId="2" applyFont="1" applyAlignment="1">
      <alignment horizontal="center" vertical="center" wrapText="1"/>
    </xf>
    <xf numFmtId="1" fontId="0" fillId="0" borderId="25" xfId="1" applyNumberFormat="1" applyFont="1" applyBorder="1" applyAlignment="1">
      <alignment horizontal="center" vertical="center"/>
    </xf>
    <xf numFmtId="9" fontId="16" fillId="0" borderId="0" xfId="1" applyFont="1"/>
    <xf numFmtId="0" fontId="16" fillId="0" borderId="0" xfId="0" applyFont="1" applyAlignment="1">
      <alignment wrapText="1"/>
    </xf>
    <xf numFmtId="9" fontId="16" fillId="0" borderId="0" xfId="0" applyNumberFormat="1" applyFont="1"/>
    <xf numFmtId="10" fontId="5" fillId="0" borderId="0" xfId="1" applyNumberFormat="1" applyFont="1" applyAlignment="1">
      <alignment horizontal="center" vertical="center" wrapText="1"/>
    </xf>
    <xf numFmtId="10" fontId="5" fillId="0" borderId="2" xfId="1" applyNumberFormat="1" applyFont="1" applyBorder="1" applyAlignment="1">
      <alignment horizontal="center" vertical="center" wrapText="1"/>
    </xf>
    <xf numFmtId="10" fontId="5" fillId="0" borderId="5" xfId="1" applyNumberFormat="1" applyFont="1" applyBorder="1" applyAlignment="1">
      <alignment horizontal="center" vertical="center" wrapText="1"/>
    </xf>
    <xf numFmtId="10" fontId="5" fillId="0" borderId="9" xfId="1" applyNumberFormat="1" applyFont="1" applyBorder="1" applyAlignment="1">
      <alignment horizontal="center" vertical="center" wrapText="1"/>
    </xf>
    <xf numFmtId="0" fontId="14" fillId="14" borderId="0" xfId="0" applyFont="1" applyFill="1" applyAlignment="1">
      <alignment horizontal="center" vertical="center" wrapText="1"/>
    </xf>
    <xf numFmtId="10" fontId="5" fillId="0" borderId="26" xfId="1" applyNumberFormat="1" applyFont="1" applyBorder="1" applyAlignment="1">
      <alignment horizontal="center" vertical="center" wrapText="1"/>
    </xf>
    <xf numFmtId="10" fontId="5" fillId="0" borderId="29" xfId="1" applyNumberFormat="1" applyFont="1" applyBorder="1" applyAlignment="1">
      <alignment horizontal="center" vertical="center" wrapText="1"/>
    </xf>
    <xf numFmtId="10" fontId="5" fillId="0" borderId="32" xfId="1" applyNumberFormat="1" applyFont="1" applyBorder="1" applyAlignment="1">
      <alignment horizontal="center" vertical="center" wrapText="1"/>
    </xf>
    <xf numFmtId="10" fontId="26" fillId="0" borderId="26" xfId="1" applyNumberFormat="1" applyFont="1" applyBorder="1" applyAlignment="1">
      <alignment horizontal="center" vertical="center" wrapText="1"/>
    </xf>
    <xf numFmtId="10" fontId="26" fillId="0" borderId="29" xfId="1" applyNumberFormat="1" applyFont="1" applyBorder="1" applyAlignment="1">
      <alignment horizontal="center" vertical="center" wrapText="1"/>
    </xf>
    <xf numFmtId="10" fontId="26" fillId="0" borderId="32" xfId="1" applyNumberFormat="1" applyFont="1" applyBorder="1" applyAlignment="1">
      <alignment horizontal="center" vertical="center" wrapText="1"/>
    </xf>
    <xf numFmtId="0" fontId="26" fillId="0" borderId="26" xfId="0" applyFont="1" applyBorder="1" applyAlignment="1">
      <alignment vertical="center" wrapText="1"/>
    </xf>
    <xf numFmtId="0" fontId="26" fillId="0" borderId="29" xfId="0" applyFont="1" applyBorder="1" applyAlignment="1">
      <alignment vertical="center" wrapText="1"/>
    </xf>
    <xf numFmtId="0" fontId="26" fillId="0" borderId="32" xfId="0" applyFont="1" applyBorder="1" applyAlignment="1">
      <alignment vertical="center" wrapText="1"/>
    </xf>
    <xf numFmtId="10" fontId="0" fillId="0" borderId="0" xfId="1" applyNumberFormat="1" applyFont="1" applyAlignment="1">
      <alignment horizontal="center" vertical="center"/>
    </xf>
    <xf numFmtId="10" fontId="0" fillId="0" borderId="26" xfId="1" applyNumberFormat="1" applyFont="1" applyBorder="1" applyAlignment="1">
      <alignment horizontal="center" vertical="center"/>
    </xf>
    <xf numFmtId="10" fontId="0" fillId="0" borderId="29" xfId="1" applyNumberFormat="1" applyFont="1" applyBorder="1" applyAlignment="1">
      <alignment horizontal="center" vertical="center"/>
    </xf>
    <xf numFmtId="10" fontId="0" fillId="0" borderId="32" xfId="1" applyNumberFormat="1" applyFont="1" applyBorder="1" applyAlignment="1">
      <alignment horizontal="center" vertical="center"/>
    </xf>
    <xf numFmtId="0" fontId="7" fillId="0" borderId="84" xfId="0" quotePrefix="1" applyFont="1" applyBorder="1" applyAlignment="1">
      <alignment vertical="center" wrapText="1"/>
    </xf>
    <xf numFmtId="0" fontId="0" fillId="0" borderId="35" xfId="0" applyBorder="1" applyAlignment="1">
      <alignment wrapText="1"/>
    </xf>
    <xf numFmtId="0" fontId="77" fillId="0" borderId="0" xfId="0" applyFont="1" applyBorder="1"/>
    <xf numFmtId="0" fontId="5" fillId="0" borderId="5" xfId="2" applyFont="1" applyBorder="1" applyAlignment="1">
      <alignment horizontal="center" vertical="center" wrapText="1"/>
    </xf>
    <xf numFmtId="0" fontId="34" fillId="0" borderId="1" xfId="2" applyFont="1" applyBorder="1" applyAlignment="1">
      <alignment horizontal="center" vertical="center" wrapText="1"/>
    </xf>
    <xf numFmtId="0" fontId="34" fillId="0" borderId="4" xfId="2" applyFont="1" applyBorder="1" applyAlignment="1">
      <alignment horizontal="center" vertical="center" wrapText="1"/>
    </xf>
    <xf numFmtId="0" fontId="34" fillId="0" borderId="8"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left" vertical="center" wrapText="1"/>
    </xf>
    <xf numFmtId="0" fontId="5" fillId="0" borderId="6" xfId="2" applyFont="1" applyBorder="1" applyAlignment="1">
      <alignment vertical="center" wrapText="1"/>
    </xf>
    <xf numFmtId="0" fontId="5" fillId="0" borderId="9" xfId="2" applyFont="1" applyBorder="1" applyAlignment="1">
      <alignment horizontal="center" vertical="center" wrapText="1"/>
    </xf>
    <xf numFmtId="0" fontId="5" fillId="0" borderId="9" xfId="2" applyFont="1" applyBorder="1" applyAlignment="1">
      <alignment horizontal="left" vertical="center" wrapText="1"/>
    </xf>
    <xf numFmtId="0" fontId="5" fillId="5" borderId="2" xfId="2" applyFont="1" applyFill="1" applyBorder="1" applyAlignment="1">
      <alignment horizontal="left" vertical="center" wrapText="1"/>
    </xf>
    <xf numFmtId="0" fontId="5" fillId="5" borderId="2" xfId="0" applyFont="1" applyFill="1" applyBorder="1" applyAlignment="1">
      <alignment vertical="center" wrapText="1"/>
    </xf>
    <xf numFmtId="0" fontId="5" fillId="5" borderId="3" xfId="0" applyFont="1" applyFill="1" applyBorder="1"/>
    <xf numFmtId="0" fontId="5" fillId="5" borderId="5" xfId="2" applyFont="1" applyFill="1" applyBorder="1" applyAlignment="1">
      <alignment horizontal="left" vertical="center" wrapText="1"/>
    </xf>
    <xf numFmtId="0" fontId="5" fillId="5" borderId="5" xfId="0" applyFont="1" applyFill="1" applyBorder="1" applyAlignment="1">
      <alignment vertical="center" wrapText="1"/>
    </xf>
    <xf numFmtId="0" fontId="5" fillId="5" borderId="6" xfId="0" applyFont="1" applyFill="1" applyBorder="1"/>
    <xf numFmtId="0" fontId="5" fillId="5" borderId="6" xfId="0" applyFont="1" applyFill="1" applyBorder="1" applyAlignment="1">
      <alignment vertical="center" wrapText="1"/>
    </xf>
    <xf numFmtId="0" fontId="5" fillId="5" borderId="5" xfId="2" applyFont="1" applyFill="1" applyBorder="1" applyAlignment="1">
      <alignment vertical="center" wrapText="1"/>
    </xf>
    <xf numFmtId="0" fontId="5" fillId="0" borderId="5" xfId="2" applyFont="1" applyFill="1" applyBorder="1" applyAlignment="1">
      <alignment horizontal="left" vertical="center" wrapText="1"/>
    </xf>
    <xf numFmtId="0" fontId="7" fillId="5" borderId="5" xfId="0" applyFont="1" applyFill="1" applyBorder="1" applyAlignment="1">
      <alignment vertical="center" wrapText="1"/>
    </xf>
    <xf numFmtId="0" fontId="7" fillId="5" borderId="5" xfId="2" applyFont="1" applyFill="1" applyBorder="1" applyAlignment="1">
      <alignment vertical="center" wrapText="1"/>
    </xf>
    <xf numFmtId="0" fontId="7" fillId="5" borderId="6" xfId="2" quotePrefix="1" applyFont="1" applyFill="1" applyBorder="1" applyAlignment="1">
      <alignment vertical="center" wrapText="1"/>
    </xf>
    <xf numFmtId="0" fontId="5" fillId="5" borderId="9" xfId="2" applyFont="1" applyFill="1" applyBorder="1" applyAlignment="1">
      <alignment vertical="center" wrapText="1"/>
    </xf>
    <xf numFmtId="0" fontId="5" fillId="0" borderId="26" xfId="0" applyFont="1" applyBorder="1" applyAlignment="1">
      <alignment horizontal="center" vertical="center" wrapText="1"/>
    </xf>
    <xf numFmtId="0" fontId="7" fillId="0" borderId="29" xfId="0" applyFont="1" applyBorder="1" applyAlignment="1">
      <alignment vertical="center" wrapText="1"/>
    </xf>
    <xf numFmtId="0" fontId="7" fillId="5" borderId="29" xfId="0" applyFont="1" applyFill="1" applyBorder="1" applyAlignment="1">
      <alignment horizontal="left" vertical="center" wrapText="1"/>
    </xf>
    <xf numFmtId="0" fontId="7" fillId="0" borderId="30" xfId="0" applyFont="1" applyBorder="1" applyAlignment="1">
      <alignment vertical="center" wrapText="1"/>
    </xf>
    <xf numFmtId="0" fontId="7" fillId="0" borderId="32" xfId="0" applyFont="1" applyBorder="1" applyAlignment="1">
      <alignment horizontal="left" vertical="center" wrapText="1"/>
    </xf>
    <xf numFmtId="0" fontId="7" fillId="0" borderId="32" xfId="0" applyFont="1" applyBorder="1" applyAlignment="1">
      <alignment vertical="center" wrapText="1"/>
    </xf>
    <xf numFmtId="0" fontId="7" fillId="0" borderId="33" xfId="0" applyFont="1" applyBorder="1" applyAlignment="1">
      <alignment vertical="center" wrapText="1"/>
    </xf>
    <xf numFmtId="0" fontId="32" fillId="0" borderId="31" xfId="0" applyFont="1" applyBorder="1" applyAlignment="1">
      <alignment horizontal="center" vertical="center" wrapText="1"/>
    </xf>
    <xf numFmtId="0" fontId="26" fillId="0" borderId="27" xfId="0" applyFont="1" applyBorder="1" applyAlignment="1">
      <alignment vertical="center" wrapText="1"/>
    </xf>
    <xf numFmtId="0" fontId="26" fillId="0" borderId="30" xfId="0" applyFont="1" applyBorder="1" applyAlignment="1">
      <alignment vertical="center" wrapText="1"/>
    </xf>
    <xf numFmtId="0" fontId="28" fillId="0" borderId="30" xfId="0" applyFont="1" applyBorder="1" applyAlignment="1">
      <alignment vertical="center" wrapText="1"/>
    </xf>
    <xf numFmtId="0" fontId="26" fillId="0" borderId="29" xfId="0" applyFont="1" applyFill="1" applyBorder="1" applyAlignment="1">
      <alignment horizontal="center" vertical="center" wrapText="1"/>
    </xf>
    <xf numFmtId="0" fontId="28" fillId="0" borderId="29" xfId="0" applyFont="1" applyFill="1" applyBorder="1" applyAlignment="1">
      <alignment vertical="center" wrapText="1"/>
    </xf>
    <xf numFmtId="0" fontId="28" fillId="0" borderId="29" xfId="0" quotePrefix="1" applyFont="1" applyFill="1" applyBorder="1" applyAlignment="1">
      <alignment vertical="center" wrapText="1"/>
    </xf>
    <xf numFmtId="0" fontId="28" fillId="5" borderId="30" xfId="0" quotePrefix="1" applyFont="1" applyFill="1" applyBorder="1" applyAlignment="1">
      <alignment vertical="center" wrapText="1"/>
    </xf>
    <xf numFmtId="0" fontId="26" fillId="0" borderId="30" xfId="0" quotePrefix="1" applyFont="1" applyBorder="1" applyAlignment="1">
      <alignment vertical="center" wrapText="1"/>
    </xf>
    <xf numFmtId="0" fontId="28" fillId="5" borderId="29" xfId="0" applyFont="1" applyFill="1" applyBorder="1" applyAlignment="1">
      <alignment vertical="center" wrapText="1"/>
    </xf>
    <xf numFmtId="0" fontId="32"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6" xfId="0" applyFont="1" applyBorder="1" applyAlignment="1">
      <alignment vertical="center" wrapText="1"/>
    </xf>
    <xf numFmtId="0" fontId="28" fillId="0" borderId="26" xfId="0" quotePrefix="1" applyFont="1" applyBorder="1" applyAlignment="1">
      <alignment vertical="center" wrapText="1"/>
    </xf>
    <xf numFmtId="0" fontId="28" fillId="0" borderId="27" xfId="0" quotePrefix="1" applyFont="1" applyBorder="1" applyAlignment="1">
      <alignment vertical="center" wrapText="1"/>
    </xf>
    <xf numFmtId="0" fontId="28" fillId="0" borderId="29" xfId="0" applyFont="1" applyBorder="1" applyAlignment="1">
      <alignment horizontal="center" vertical="center" wrapText="1"/>
    </xf>
    <xf numFmtId="0" fontId="26" fillId="0" borderId="26" xfId="0" quotePrefix="1" applyFont="1" applyBorder="1" applyAlignment="1">
      <alignment vertical="center" wrapText="1"/>
    </xf>
    <xf numFmtId="0" fontId="26" fillId="0" borderId="27" xfId="0" quotePrefix="1" applyFont="1" applyBorder="1" applyAlignment="1">
      <alignment vertical="center" wrapText="1"/>
    </xf>
    <xf numFmtId="0" fontId="26" fillId="0" borderId="29" xfId="0" quotePrefix="1" applyFont="1" applyBorder="1" applyAlignment="1">
      <alignment vertical="center" wrapText="1"/>
    </xf>
    <xf numFmtId="0" fontId="75" fillId="0" borderId="30" xfId="0" quotePrefix="1" applyFont="1" applyBorder="1" applyAlignment="1">
      <alignment vertical="center" wrapText="1"/>
    </xf>
    <xf numFmtId="0" fontId="82" fillId="0" borderId="31" xfId="0" applyFont="1" applyBorder="1" applyAlignment="1">
      <alignment horizontal="center" vertical="center" wrapText="1"/>
    </xf>
    <xf numFmtId="0" fontId="26" fillId="0" borderId="32" xfId="0" quotePrefix="1" applyFont="1" applyBorder="1" applyAlignment="1">
      <alignment vertical="center" wrapText="1"/>
    </xf>
    <xf numFmtId="0" fontId="26" fillId="0" borderId="33" xfId="0" quotePrefix="1" applyFont="1" applyBorder="1" applyAlignment="1">
      <alignment vertical="center" wrapText="1"/>
    </xf>
    <xf numFmtId="0" fontId="28" fillId="0" borderId="33" xfId="0" applyFont="1" applyBorder="1" applyAlignment="1">
      <alignment vertical="center" wrapText="1"/>
    </xf>
    <xf numFmtId="0" fontId="10" fillId="0" borderId="25" xfId="2" applyFont="1" applyBorder="1" applyAlignment="1">
      <alignment horizontal="center" vertical="center" wrapText="1"/>
    </xf>
    <xf numFmtId="0" fontId="10" fillId="0" borderId="31" xfId="2" applyFont="1" applyBorder="1" applyAlignment="1">
      <alignment horizontal="center" vertical="center" wrapText="1"/>
    </xf>
    <xf numFmtId="9" fontId="5" fillId="22" borderId="2" xfId="1" applyFont="1" applyFill="1" applyBorder="1" applyAlignment="1" applyProtection="1">
      <alignment horizontal="center" vertical="center" wrapText="1"/>
      <protection locked="0"/>
    </xf>
    <xf numFmtId="9" fontId="5" fillId="22" borderId="5" xfId="1" applyFont="1" applyFill="1" applyBorder="1" applyAlignment="1" applyProtection="1">
      <alignment horizontal="center" vertical="center" wrapText="1"/>
      <protection locked="0"/>
    </xf>
    <xf numFmtId="9" fontId="5" fillId="22" borderId="9" xfId="1" applyFont="1" applyFill="1" applyBorder="1" applyAlignment="1" applyProtection="1">
      <alignment horizontal="center" vertical="center" wrapText="1"/>
      <protection locked="0"/>
    </xf>
    <xf numFmtId="9" fontId="5" fillId="0" borderId="0" xfId="1" applyFont="1" applyAlignment="1" applyProtection="1">
      <alignment vertical="center" wrapText="1"/>
      <protection locked="0"/>
    </xf>
    <xf numFmtId="9" fontId="5" fillId="0" borderId="0" xfId="1" applyFont="1" applyProtection="1">
      <protection locked="0"/>
    </xf>
    <xf numFmtId="9" fontId="5" fillId="22" borderId="2" xfId="1" applyFont="1" applyFill="1" applyBorder="1" applyAlignment="1" applyProtection="1">
      <alignment horizontal="center" vertical="center"/>
      <protection locked="0"/>
    </xf>
    <xf numFmtId="9" fontId="5" fillId="22" borderId="5" xfId="1" applyFont="1" applyFill="1" applyBorder="1" applyAlignment="1" applyProtection="1">
      <alignment horizontal="center" vertical="center"/>
      <protection locked="0"/>
    </xf>
    <xf numFmtId="0" fontId="0" fillId="9" borderId="0" xfId="0" applyFill="1" applyAlignment="1" applyProtection="1">
      <alignment horizontal="center" vertical="center"/>
      <protection locked="0"/>
    </xf>
    <xf numFmtId="3" fontId="0" fillId="9" borderId="0" xfId="0" applyNumberFormat="1" applyFill="1" applyAlignment="1" applyProtection="1">
      <alignment horizontal="center" vertical="center"/>
      <protection locked="0"/>
    </xf>
    <xf numFmtId="0" fontId="7" fillId="0" borderId="3" xfId="0" applyFont="1" applyBorder="1" applyAlignment="1">
      <alignment vertical="top" wrapText="1"/>
    </xf>
    <xf numFmtId="0" fontId="17" fillId="20" borderId="16" xfId="3" quotePrefix="1" applyFill="1" applyBorder="1" applyAlignment="1" applyProtection="1">
      <alignment vertical="center"/>
      <protection locked="0"/>
    </xf>
    <xf numFmtId="0" fontId="17" fillId="18" borderId="16" xfId="3" quotePrefix="1" applyFill="1" applyBorder="1" applyAlignment="1" applyProtection="1">
      <alignment vertical="center"/>
      <protection locked="0"/>
    </xf>
    <xf numFmtId="0" fontId="17" fillId="16" borderId="16" xfId="3" quotePrefix="1" applyFill="1" applyBorder="1" applyAlignment="1" applyProtection="1">
      <alignment vertical="center"/>
      <protection locked="0"/>
    </xf>
    <xf numFmtId="0" fontId="17" fillId="17" borderId="16" xfId="3" quotePrefix="1" applyFill="1" applyBorder="1" applyAlignment="1" applyProtection="1">
      <alignment vertical="center"/>
      <protection locked="0"/>
    </xf>
    <xf numFmtId="0" fontId="17" fillId="7" borderId="16" xfId="3" quotePrefix="1" applyFill="1" applyBorder="1" applyAlignment="1" applyProtection="1">
      <alignment vertical="center"/>
      <protection locked="0"/>
    </xf>
    <xf numFmtId="0" fontId="17" fillId="19" borderId="16" xfId="3" quotePrefix="1" applyFill="1" applyBorder="1" applyAlignment="1" applyProtection="1">
      <alignment vertical="center"/>
      <protection locked="0"/>
    </xf>
    <xf numFmtId="0" fontId="17" fillId="5" borderId="16" xfId="3" quotePrefix="1" applyFill="1" applyBorder="1" applyAlignment="1" applyProtection="1">
      <alignment vertical="center"/>
      <protection locked="0"/>
    </xf>
    <xf numFmtId="0" fontId="5" fillId="0" borderId="0" xfId="0" applyFont="1" applyProtection="1">
      <protection locked="0"/>
    </xf>
    <xf numFmtId="0" fontId="84" fillId="0" borderId="21" xfId="0" applyFont="1" applyBorder="1"/>
    <xf numFmtId="10" fontId="5" fillId="0" borderId="0" xfId="1" applyNumberFormat="1" applyFont="1" applyAlignment="1" applyProtection="1">
      <alignment horizontal="center" vertical="center"/>
      <protection locked="0"/>
    </xf>
    <xf numFmtId="1" fontId="5" fillId="0" borderId="4" xfId="2" applyNumberFormat="1" applyFont="1" applyBorder="1" applyAlignment="1">
      <alignment horizontal="center" vertical="center" wrapText="1"/>
    </xf>
    <xf numFmtId="1" fontId="5" fillId="0" borderId="8" xfId="2" applyNumberFormat="1" applyFont="1" applyBorder="1" applyAlignment="1">
      <alignment horizontal="center" vertical="center" wrapText="1"/>
    </xf>
    <xf numFmtId="1" fontId="26" fillId="0" borderId="31" xfId="1" applyNumberFormat="1" applyFont="1" applyBorder="1" applyAlignment="1">
      <alignment horizontal="center" vertical="center" wrapText="1"/>
    </xf>
    <xf numFmtId="1" fontId="0" fillId="0" borderId="25" xfId="1" applyNumberFormat="1"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4" fillId="13" borderId="0" xfId="0" applyFont="1" applyFill="1" applyAlignment="1">
      <alignment vertical="center" wrapText="1"/>
    </xf>
    <xf numFmtId="0" fontId="5" fillId="2" borderId="0" xfId="0" applyFont="1" applyFill="1"/>
    <xf numFmtId="0" fontId="5" fillId="0" borderId="2" xfId="2" applyFont="1" applyBorder="1" applyAlignment="1">
      <alignment horizontal="left" vertical="top" wrapText="1"/>
    </xf>
    <xf numFmtId="0" fontId="5" fillId="0" borderId="3" xfId="2" applyFont="1" applyBorder="1" applyAlignment="1">
      <alignment horizontal="center" vertical="top" wrapText="1"/>
    </xf>
    <xf numFmtId="0" fontId="7" fillId="0" borderId="5" xfId="2" applyFont="1" applyBorder="1" applyAlignment="1">
      <alignment horizontal="left" vertical="top" wrapText="1"/>
    </xf>
    <xf numFmtId="0" fontId="5" fillId="0" borderId="5" xfId="2" applyFont="1" applyBorder="1" applyAlignment="1">
      <alignment horizontal="left" vertical="top" wrapText="1"/>
    </xf>
    <xf numFmtId="0" fontId="5" fillId="0" borderId="6" xfId="2" applyFont="1" applyBorder="1" applyAlignment="1">
      <alignment horizontal="center" vertical="top" wrapText="1"/>
    </xf>
    <xf numFmtId="0" fontId="5" fillId="0" borderId="5" xfId="2" applyFont="1" applyBorder="1" applyAlignment="1">
      <alignment horizontal="center" vertical="top" wrapText="1"/>
    </xf>
    <xf numFmtId="0" fontId="5" fillId="0" borderId="5" xfId="2" applyFont="1" applyBorder="1" applyAlignment="1">
      <alignment vertical="top" wrapText="1"/>
    </xf>
    <xf numFmtId="0" fontId="5" fillId="0" borderId="6" xfId="0" applyFont="1" applyBorder="1" applyAlignment="1">
      <alignment vertical="top"/>
    </xf>
    <xf numFmtId="0" fontId="7" fillId="0" borderId="5" xfId="2" applyFont="1" applyBorder="1" applyAlignment="1">
      <alignment vertical="top" wrapText="1"/>
    </xf>
    <xf numFmtId="0" fontId="7" fillId="0" borderId="6" xfId="2" quotePrefix="1" applyFont="1" applyFill="1" applyBorder="1" applyAlignment="1">
      <alignment vertical="top" wrapText="1"/>
    </xf>
    <xf numFmtId="0" fontId="5" fillId="0" borderId="6" xfId="2" quotePrefix="1" applyFont="1" applyBorder="1" applyAlignment="1">
      <alignment vertical="top" wrapText="1"/>
    </xf>
    <xf numFmtId="0" fontId="5" fillId="0" borderId="9" xfId="2" applyFont="1" applyBorder="1" applyAlignment="1">
      <alignment vertical="top" wrapText="1"/>
    </xf>
    <xf numFmtId="0" fontId="5" fillId="0" borderId="10" xfId="2" applyFont="1" applyBorder="1" applyAlignment="1">
      <alignment vertical="top" wrapText="1"/>
    </xf>
    <xf numFmtId="0" fontId="5" fillId="0" borderId="0" xfId="2" applyFont="1" applyAlignment="1">
      <alignment vertical="top" wrapText="1"/>
    </xf>
    <xf numFmtId="0" fontId="5" fillId="0" borderId="2" xfId="2" applyFont="1" applyBorder="1" applyAlignment="1">
      <alignment vertical="top" wrapText="1"/>
    </xf>
    <xf numFmtId="0" fontId="5" fillId="0" borderId="2" xfId="2" quotePrefix="1" applyFont="1" applyBorder="1" applyAlignment="1">
      <alignment vertical="top" wrapText="1"/>
    </xf>
    <xf numFmtId="0" fontId="5" fillId="0" borderId="3" xfId="0" applyFont="1" applyBorder="1" applyAlignment="1">
      <alignment vertical="top" wrapText="1"/>
    </xf>
    <xf numFmtId="0" fontId="7" fillId="0" borderId="6" xfId="2" quotePrefix="1" applyFont="1" applyBorder="1" applyAlignment="1">
      <alignment vertical="top" wrapText="1"/>
    </xf>
    <xf numFmtId="0" fontId="7" fillId="0" borderId="9" xfId="2" applyFont="1" applyBorder="1" applyAlignment="1">
      <alignment vertical="top" wrapText="1"/>
    </xf>
    <xf numFmtId="0" fontId="7" fillId="0" borderId="9" xfId="2" quotePrefix="1" applyFont="1" applyBorder="1" applyAlignment="1">
      <alignment vertical="top" wrapText="1"/>
    </xf>
    <xf numFmtId="0" fontId="5" fillId="0" borderId="10" xfId="0" quotePrefix="1" applyFont="1" applyBorder="1" applyAlignment="1">
      <alignment vertical="top" wrapText="1"/>
    </xf>
    <xf numFmtId="0" fontId="11" fillId="0" borderId="0" xfId="2" applyFont="1" applyAlignment="1">
      <alignment vertical="top" wrapText="1"/>
    </xf>
    <xf numFmtId="0" fontId="7" fillId="0" borderId="2" xfId="2" applyFont="1" applyBorder="1" applyAlignment="1">
      <alignment vertical="top" wrapText="1"/>
    </xf>
    <xf numFmtId="0" fontId="7" fillId="0" borderId="5" xfId="2" quotePrefix="1" applyFont="1" applyBorder="1" applyAlignment="1">
      <alignment vertical="top" wrapText="1"/>
    </xf>
    <xf numFmtId="0" fontId="7" fillId="5" borderId="10" xfId="2" quotePrefix="1" applyFont="1" applyFill="1" applyBorder="1" applyAlignment="1">
      <alignment vertical="top" wrapText="1"/>
    </xf>
    <xf numFmtId="0" fontId="5" fillId="0" borderId="0" xfId="0" applyFont="1" applyAlignment="1">
      <alignment vertical="top"/>
    </xf>
    <xf numFmtId="0" fontId="5" fillId="0" borderId="2"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wrapText="1"/>
    </xf>
    <xf numFmtId="0" fontId="5" fillId="0" borderId="10" xfId="2" quotePrefix="1" applyFont="1" applyBorder="1" applyAlignment="1">
      <alignment vertical="top" wrapText="1"/>
    </xf>
    <xf numFmtId="10" fontId="5" fillId="0" borderId="2" xfId="1" applyNumberFormat="1" applyFont="1" applyBorder="1" applyAlignment="1" applyProtection="1">
      <alignment horizontal="center" vertical="center"/>
      <protection locked="0"/>
    </xf>
    <xf numFmtId="0" fontId="5" fillId="14" borderId="2" xfId="2" applyFont="1" applyFill="1" applyBorder="1" applyAlignment="1" applyProtection="1">
      <alignment horizontal="center" vertical="center" wrapText="1"/>
      <protection locked="0"/>
    </xf>
    <xf numFmtId="9" fontId="5" fillId="22" borderId="3" xfId="1" applyFont="1" applyFill="1" applyBorder="1" applyAlignment="1" applyProtection="1">
      <alignment horizontal="center" vertical="center" wrapText="1"/>
      <protection locked="0"/>
    </xf>
    <xf numFmtId="10" fontId="5" fillId="0" borderId="5" xfId="1" applyNumberFormat="1" applyFont="1" applyBorder="1" applyAlignment="1" applyProtection="1">
      <alignment horizontal="center" vertical="center"/>
      <protection locked="0"/>
    </xf>
    <xf numFmtId="0" fontId="5" fillId="14" borderId="5" xfId="2" applyFont="1" applyFill="1" applyBorder="1" applyAlignment="1" applyProtection="1">
      <alignment horizontal="center" vertical="center" wrapText="1"/>
      <protection locked="0"/>
    </xf>
    <xf numFmtId="9" fontId="5" fillId="22" borderId="6" xfId="1" applyFont="1" applyFill="1" applyBorder="1" applyAlignment="1" applyProtection="1">
      <alignment horizontal="center" vertical="center" wrapText="1"/>
      <protection locked="0"/>
    </xf>
    <xf numFmtId="0" fontId="5" fillId="14" borderId="5" xfId="0" applyFont="1" applyFill="1" applyBorder="1" applyProtection="1">
      <protection locked="0"/>
    </xf>
    <xf numFmtId="0" fontId="7" fillId="14" borderId="5" xfId="2" quotePrefix="1" applyFont="1" applyFill="1" applyBorder="1" applyAlignment="1" applyProtection="1">
      <alignment vertical="center" wrapText="1"/>
      <protection locked="0"/>
    </xf>
    <xf numFmtId="0" fontId="5" fillId="14" borderId="5" xfId="2" quotePrefix="1" applyFont="1" applyFill="1" applyBorder="1" applyAlignment="1" applyProtection="1">
      <alignment vertical="center" wrapText="1"/>
      <protection locked="0"/>
    </xf>
    <xf numFmtId="10" fontId="5" fillId="0" borderId="9" xfId="1" applyNumberFormat="1" applyFont="1" applyBorder="1" applyAlignment="1" applyProtection="1">
      <alignment horizontal="center" vertical="center"/>
      <protection locked="0"/>
    </xf>
    <xf numFmtId="0" fontId="5" fillId="14" borderId="9" xfId="2" applyFont="1" applyFill="1" applyBorder="1" applyAlignment="1" applyProtection="1">
      <alignment vertical="center" wrapText="1"/>
      <protection locked="0"/>
    </xf>
    <xf numFmtId="9" fontId="5" fillId="22" borderId="10" xfId="1" applyFont="1" applyFill="1" applyBorder="1" applyAlignment="1" applyProtection="1">
      <alignment horizontal="center" vertical="center" wrapText="1"/>
      <protection locked="0"/>
    </xf>
    <xf numFmtId="9" fontId="5" fillId="22" borderId="1" xfId="1" applyFont="1" applyFill="1" applyBorder="1" applyAlignment="1" applyProtection="1">
      <alignment horizontal="center" vertical="center" wrapText="1"/>
      <protection locked="0"/>
    </xf>
    <xf numFmtId="9" fontId="5" fillId="22" borderId="4" xfId="1" applyFont="1" applyFill="1" applyBorder="1" applyAlignment="1" applyProtection="1">
      <alignment horizontal="center" vertical="center" wrapText="1"/>
      <protection locked="0"/>
    </xf>
    <xf numFmtId="9" fontId="5" fillId="22" borderId="8" xfId="1" applyFont="1" applyFill="1" applyBorder="1" applyAlignment="1" applyProtection="1">
      <alignment horizontal="center" vertical="center" wrapText="1"/>
      <protection locked="0"/>
    </xf>
    <xf numFmtId="0" fontId="5" fillId="14" borderId="2" xfId="0" applyFont="1" applyFill="1" applyBorder="1" applyAlignment="1" applyProtection="1">
      <alignment vertical="center" wrapText="1"/>
      <protection locked="0"/>
    </xf>
    <xf numFmtId="9" fontId="5" fillId="22" borderId="6" xfId="1" quotePrefix="1" applyFont="1" applyFill="1" applyBorder="1" applyAlignment="1" applyProtection="1">
      <alignment horizontal="center" vertical="center" wrapText="1"/>
      <protection locked="0"/>
    </xf>
    <xf numFmtId="0" fontId="5" fillId="14" borderId="9" xfId="0" quotePrefix="1" applyFont="1" applyFill="1" applyBorder="1" applyAlignment="1" applyProtection="1">
      <alignment vertical="center" wrapText="1"/>
      <protection locked="0"/>
    </xf>
    <xf numFmtId="9" fontId="5" fillId="22" borderId="10" xfId="1" quotePrefix="1" applyFont="1" applyFill="1" applyBorder="1" applyAlignment="1" applyProtection="1">
      <alignment horizontal="center" vertical="center" wrapText="1"/>
      <protection locked="0"/>
    </xf>
    <xf numFmtId="9" fontId="5" fillId="22" borderId="4" xfId="1" quotePrefix="1" applyFont="1" applyFill="1" applyBorder="1" applyAlignment="1" applyProtection="1">
      <alignment horizontal="center" vertical="center" wrapText="1"/>
      <protection locked="0"/>
    </xf>
    <xf numFmtId="9" fontId="5" fillId="22" borderId="8" xfId="1" quotePrefix="1" applyFont="1" applyFill="1" applyBorder="1" applyAlignment="1" applyProtection="1">
      <alignment horizontal="center" vertical="center" wrapText="1"/>
      <protection locked="0"/>
    </xf>
    <xf numFmtId="0" fontId="7" fillId="14" borderId="2" xfId="0" applyFont="1" applyFill="1" applyBorder="1" applyAlignment="1" applyProtection="1">
      <alignment vertical="top" wrapText="1"/>
      <protection locked="0"/>
    </xf>
    <xf numFmtId="0" fontId="7" fillId="14" borderId="9" xfId="2" quotePrefix="1" applyFont="1" applyFill="1" applyBorder="1" applyAlignment="1" applyProtection="1">
      <alignment vertical="center" wrapText="1"/>
      <protection locked="0"/>
    </xf>
    <xf numFmtId="0" fontId="5" fillId="14" borderId="2" xfId="0" applyFont="1" applyFill="1" applyBorder="1" applyAlignment="1" applyProtection="1">
      <alignment wrapText="1"/>
      <protection locked="0"/>
    </xf>
    <xf numFmtId="9" fontId="5" fillId="22" borderId="3" xfId="1" applyFont="1" applyFill="1" applyBorder="1" applyAlignment="1" applyProtection="1">
      <alignment horizontal="center" vertical="center"/>
      <protection locked="0"/>
    </xf>
    <xf numFmtId="0" fontId="5" fillId="14" borderId="5" xfId="0" applyFont="1" applyFill="1" applyBorder="1" applyAlignment="1" applyProtection="1">
      <alignment wrapText="1"/>
      <protection locked="0"/>
    </xf>
    <xf numFmtId="9" fontId="5" fillId="22" borderId="6" xfId="1" applyFont="1" applyFill="1" applyBorder="1" applyAlignment="1" applyProtection="1">
      <alignment horizontal="center" vertical="center"/>
      <protection locked="0"/>
    </xf>
    <xf numFmtId="0" fontId="5" fillId="14" borderId="9" xfId="2" quotePrefix="1" applyFont="1" applyFill="1" applyBorder="1" applyAlignment="1" applyProtection="1">
      <alignment vertical="center" wrapText="1"/>
      <protection locked="0"/>
    </xf>
    <xf numFmtId="9" fontId="5" fillId="22" borderId="10" xfId="1" applyFont="1" applyFill="1" applyBorder="1" applyAlignment="1" applyProtection="1">
      <alignment horizontal="center" vertical="center"/>
      <protection locked="0"/>
    </xf>
    <xf numFmtId="9" fontId="5" fillId="22" borderId="1" xfId="1" applyFont="1" applyFill="1" applyBorder="1" applyAlignment="1" applyProtection="1">
      <alignment horizontal="center" vertical="center"/>
      <protection locked="0"/>
    </xf>
    <xf numFmtId="9" fontId="5" fillId="22" borderId="4" xfId="1" applyFont="1" applyFill="1" applyBorder="1" applyAlignment="1" applyProtection="1">
      <alignment horizontal="center" vertical="center"/>
      <protection locked="0"/>
    </xf>
    <xf numFmtId="9" fontId="5" fillId="22" borderId="8" xfId="1" applyFont="1" applyFill="1" applyBorder="1" applyAlignment="1" applyProtection="1">
      <alignment horizontal="center" vertical="center"/>
      <protection locked="0"/>
    </xf>
    <xf numFmtId="0" fontId="17" fillId="0" borderId="30" xfId="3" applyBorder="1" applyAlignment="1">
      <alignment vertical="center" wrapText="1"/>
    </xf>
    <xf numFmtId="0" fontId="10" fillId="0" borderId="0" xfId="2" applyFont="1" applyFill="1" applyAlignment="1">
      <alignment horizontal="center" vertical="center" wrapText="1"/>
    </xf>
    <xf numFmtId="0" fontId="2" fillId="0" borderId="0" xfId="2" applyFont="1" applyFill="1" applyAlignment="1">
      <alignment horizontal="center" vertical="center" wrapText="1"/>
    </xf>
    <xf numFmtId="0" fontId="5" fillId="0" borderId="0" xfId="2" applyFont="1" applyFill="1" applyAlignment="1">
      <alignment vertical="center" wrapText="1"/>
    </xf>
    <xf numFmtId="0" fontId="79" fillId="0" borderId="0" xfId="2" applyFont="1" applyFill="1" applyAlignment="1">
      <alignment horizontal="left" vertical="center" wrapText="1"/>
    </xf>
    <xf numFmtId="0" fontId="5" fillId="0" borderId="0" xfId="2" applyFont="1" applyFill="1" applyAlignment="1">
      <alignment horizontal="center" vertical="center" wrapText="1"/>
    </xf>
    <xf numFmtId="0" fontId="5" fillId="0" borderId="0" xfId="2" applyFont="1" applyFill="1" applyAlignment="1">
      <alignment horizontal="left" vertical="center" wrapText="1"/>
    </xf>
    <xf numFmtId="10" fontId="5" fillId="0" borderId="0" xfId="1" applyNumberFormat="1" applyFont="1" applyFill="1" applyAlignment="1">
      <alignment horizontal="center" vertical="center" wrapText="1"/>
    </xf>
    <xf numFmtId="0" fontId="5" fillId="0" borderId="0" xfId="0" applyFont="1" applyFill="1"/>
    <xf numFmtId="9" fontId="5" fillId="22" borderId="26" xfId="1" applyFont="1" applyFill="1" applyBorder="1" applyAlignment="1" applyProtection="1">
      <alignment horizontal="center" vertical="center" wrapText="1"/>
      <protection locked="0"/>
    </xf>
    <xf numFmtId="10" fontId="5" fillId="0" borderId="26" xfId="1" applyNumberFormat="1" applyFont="1" applyBorder="1" applyAlignment="1" applyProtection="1">
      <alignment horizontal="center" vertical="center"/>
      <protection locked="0"/>
    </xf>
    <xf numFmtId="0" fontId="5" fillId="14" borderId="26" xfId="2" applyFont="1" applyFill="1" applyBorder="1" applyAlignment="1" applyProtection="1">
      <alignment horizontal="center" vertical="center" wrapText="1"/>
      <protection locked="0"/>
    </xf>
    <xf numFmtId="9" fontId="5" fillId="22" borderId="27" xfId="1" applyFont="1" applyFill="1" applyBorder="1" applyAlignment="1" applyProtection="1">
      <alignment horizontal="center" vertical="center" wrapText="1"/>
      <protection locked="0"/>
    </xf>
    <xf numFmtId="9" fontId="5" fillId="22" borderId="29" xfId="1" applyFont="1" applyFill="1" applyBorder="1" applyAlignment="1" applyProtection="1">
      <alignment horizontal="center" vertical="center" wrapText="1"/>
      <protection locked="0"/>
    </xf>
    <xf numFmtId="10" fontId="5" fillId="0" borderId="29" xfId="1" applyNumberFormat="1" applyFont="1" applyBorder="1" applyAlignment="1" applyProtection="1">
      <alignment horizontal="center" vertical="center"/>
      <protection locked="0"/>
    </xf>
    <xf numFmtId="0" fontId="5" fillId="14" borderId="29" xfId="2" applyFont="1" applyFill="1" applyBorder="1" applyAlignment="1" applyProtection="1">
      <alignment horizontal="center" vertical="center" wrapText="1"/>
      <protection locked="0"/>
    </xf>
    <xf numFmtId="9" fontId="5" fillId="22" borderId="30" xfId="1" applyFont="1" applyFill="1" applyBorder="1" applyAlignment="1" applyProtection="1">
      <alignment horizontal="center" vertical="center" wrapText="1"/>
      <protection locked="0"/>
    </xf>
    <xf numFmtId="0" fontId="5" fillId="14" borderId="29" xfId="0" applyFont="1" applyFill="1" applyBorder="1" applyProtection="1">
      <protection locked="0"/>
    </xf>
    <xf numFmtId="0" fontId="7" fillId="14" borderId="29" xfId="2" quotePrefix="1" applyFont="1" applyFill="1" applyBorder="1" applyAlignment="1" applyProtection="1">
      <alignment vertical="center" wrapText="1"/>
      <protection locked="0"/>
    </xf>
    <xf numFmtId="9" fontId="5" fillId="22" borderId="32" xfId="1" applyFont="1" applyFill="1" applyBorder="1" applyAlignment="1" applyProtection="1">
      <alignment horizontal="center" vertical="center" wrapText="1"/>
      <protection locked="0"/>
    </xf>
    <xf numFmtId="10" fontId="5" fillId="0" borderId="32" xfId="1" applyNumberFormat="1" applyFont="1" applyBorder="1" applyAlignment="1" applyProtection="1">
      <alignment horizontal="center" vertical="center"/>
      <protection locked="0"/>
    </xf>
    <xf numFmtId="0" fontId="5" fillId="14" borderId="32" xfId="2" quotePrefix="1" applyFont="1" applyFill="1" applyBorder="1" applyAlignment="1" applyProtection="1">
      <alignment vertical="center" wrapText="1"/>
      <protection locked="0"/>
    </xf>
    <xf numFmtId="9" fontId="5" fillId="22" borderId="33" xfId="1" applyFont="1" applyFill="1" applyBorder="1" applyAlignment="1" applyProtection="1">
      <alignment horizontal="center" vertical="center" wrapText="1"/>
      <protection locked="0"/>
    </xf>
    <xf numFmtId="9" fontId="5" fillId="22" borderId="25" xfId="1" applyFont="1" applyFill="1" applyBorder="1" applyAlignment="1" applyProtection="1">
      <alignment horizontal="center" vertical="center" wrapText="1"/>
      <protection locked="0"/>
    </xf>
    <xf numFmtId="9" fontId="5" fillId="22" borderId="28" xfId="1" applyFont="1" applyFill="1" applyBorder="1" applyAlignment="1" applyProtection="1">
      <alignment horizontal="center" vertical="center" wrapText="1"/>
      <protection locked="0"/>
    </xf>
    <xf numFmtId="9" fontId="5" fillId="22" borderId="31" xfId="1" applyFont="1" applyFill="1" applyBorder="1" applyAlignment="1" applyProtection="1">
      <alignment horizontal="center" vertical="center" wrapText="1"/>
      <protection locked="0"/>
    </xf>
    <xf numFmtId="0" fontId="5" fillId="0" borderId="86" xfId="2" applyFont="1" applyFill="1" applyBorder="1" applyAlignment="1">
      <alignment vertical="center" wrapText="1"/>
    </xf>
    <xf numFmtId="10" fontId="5" fillId="0" borderId="86" xfId="1" applyNumberFormat="1" applyFont="1" applyFill="1" applyBorder="1" applyAlignment="1">
      <alignment horizontal="center" vertical="center" wrapText="1"/>
    </xf>
    <xf numFmtId="9" fontId="5" fillId="0" borderId="86" xfId="1" applyFont="1" applyFill="1" applyBorder="1" applyAlignment="1" applyProtection="1">
      <alignment horizontal="center" vertical="center" wrapText="1"/>
      <protection locked="0"/>
    </xf>
    <xf numFmtId="0" fontId="5" fillId="0" borderId="86" xfId="2" quotePrefix="1" applyFont="1" applyFill="1" applyBorder="1" applyAlignment="1" applyProtection="1">
      <alignment vertical="center" wrapText="1"/>
      <protection locked="0"/>
    </xf>
    <xf numFmtId="0" fontId="5" fillId="14" borderId="26" xfId="0" applyFont="1" applyFill="1" applyBorder="1" applyProtection="1">
      <protection locked="0"/>
    </xf>
    <xf numFmtId="0" fontId="5" fillId="14" borderId="29" xfId="2" applyFont="1" applyFill="1" applyBorder="1" applyAlignment="1" applyProtection="1">
      <alignment vertical="center" wrapText="1"/>
      <protection locked="0"/>
    </xf>
    <xf numFmtId="9" fontId="5" fillId="22" borderId="29" xfId="1" applyFont="1" applyFill="1" applyBorder="1" applyAlignment="1" applyProtection="1">
      <alignment vertical="center" wrapText="1"/>
      <protection locked="0"/>
    </xf>
    <xf numFmtId="9" fontId="5" fillId="22" borderId="30" xfId="1" applyFont="1" applyFill="1" applyBorder="1" applyAlignment="1" applyProtection="1">
      <alignment vertical="center" wrapText="1"/>
      <protection locked="0"/>
    </xf>
    <xf numFmtId="0" fontId="5" fillId="14" borderId="29" xfId="0" applyFont="1" applyFill="1" applyBorder="1" applyAlignment="1" applyProtection="1">
      <alignment vertical="center" wrapText="1"/>
      <protection locked="0"/>
    </xf>
    <xf numFmtId="9" fontId="5" fillId="22" borderId="29" xfId="1" quotePrefix="1" applyFont="1" applyFill="1" applyBorder="1" applyAlignment="1" applyProtection="1">
      <alignment horizontal="center" vertical="center" wrapText="1"/>
      <protection locked="0"/>
    </xf>
    <xf numFmtId="9" fontId="5" fillId="22" borderId="30" xfId="1" quotePrefix="1" applyFont="1" applyFill="1" applyBorder="1" applyAlignment="1" applyProtection="1">
      <alignment horizontal="center" vertical="center" wrapText="1"/>
      <protection locked="0"/>
    </xf>
    <xf numFmtId="0" fontId="5" fillId="14" borderId="29" xfId="0" quotePrefix="1" applyFont="1" applyFill="1" applyBorder="1" applyAlignment="1" applyProtection="1">
      <alignment vertical="center" wrapText="1"/>
      <protection locked="0"/>
    </xf>
    <xf numFmtId="9" fontId="5" fillId="22" borderId="28" xfId="1" applyFont="1" applyFill="1" applyBorder="1" applyAlignment="1" applyProtection="1">
      <alignment vertical="center" wrapText="1"/>
      <protection locked="0"/>
    </xf>
    <xf numFmtId="9" fontId="5" fillId="22" borderId="28" xfId="1" quotePrefix="1" applyFont="1" applyFill="1" applyBorder="1" applyAlignment="1" applyProtection="1">
      <alignment horizontal="center" vertical="center" wrapText="1"/>
      <protection locked="0"/>
    </xf>
    <xf numFmtId="9" fontId="5" fillId="22" borderId="31" xfId="1" applyFont="1" applyFill="1" applyBorder="1" applyProtection="1">
      <protection locked="0"/>
    </xf>
    <xf numFmtId="0" fontId="7" fillId="14" borderId="29" xfId="0" applyFont="1" applyFill="1" applyBorder="1" applyAlignment="1" applyProtection="1">
      <alignment vertical="top" wrapText="1"/>
      <protection locked="0"/>
    </xf>
    <xf numFmtId="9" fontId="5" fillId="22" borderId="33" xfId="1" applyFont="1" applyFill="1" applyBorder="1" applyProtection="1">
      <protection locked="0"/>
    </xf>
    <xf numFmtId="0" fontId="5" fillId="14" borderId="32" xfId="0" applyFont="1" applyFill="1" applyBorder="1" applyProtection="1">
      <protection locked="0"/>
    </xf>
    <xf numFmtId="9" fontId="5" fillId="22" borderId="32" xfId="1" applyFont="1" applyFill="1" applyBorder="1" applyProtection="1">
      <protection locked="0"/>
    </xf>
    <xf numFmtId="0" fontId="11" fillId="0" borderId="0" xfId="2" applyFont="1" applyFill="1" applyAlignment="1">
      <alignment vertical="center" wrapText="1"/>
    </xf>
    <xf numFmtId="1" fontId="5" fillId="0" borderId="0" xfId="1" applyNumberFormat="1" applyFont="1" applyFill="1" applyBorder="1" applyAlignment="1">
      <alignment horizontal="left" vertical="center" wrapText="1"/>
    </xf>
    <xf numFmtId="10" fontId="5" fillId="0" borderId="0" xfId="1" applyNumberFormat="1" applyFont="1" applyFill="1" applyBorder="1" applyAlignment="1">
      <alignment horizontal="center" vertical="center" wrapText="1"/>
    </xf>
    <xf numFmtId="0" fontId="5" fillId="0" borderId="0" xfId="0" applyFont="1" applyFill="1" applyBorder="1"/>
    <xf numFmtId="9" fontId="5" fillId="0" borderId="0" xfId="1" applyFont="1" applyFill="1" applyBorder="1" applyAlignment="1" applyProtection="1">
      <alignment horizontal="center" vertical="center"/>
      <protection locked="0"/>
    </xf>
    <xf numFmtId="10" fontId="5" fillId="0" borderId="0" xfId="1" applyNumberFormat="1" applyFont="1" applyFill="1" applyBorder="1" applyAlignment="1" applyProtection="1">
      <alignment horizontal="center" vertical="center"/>
      <protection locked="0"/>
    </xf>
    <xf numFmtId="0" fontId="5" fillId="0" borderId="0" xfId="0" applyFont="1" applyFill="1" applyBorder="1" applyAlignment="1" applyProtection="1">
      <alignment wrapText="1"/>
      <protection locked="0"/>
    </xf>
    <xf numFmtId="9" fontId="5" fillId="22" borderId="26" xfId="1" applyFont="1" applyFill="1" applyBorder="1" applyAlignment="1" applyProtection="1">
      <alignment horizontal="center" vertical="center"/>
      <protection locked="0"/>
    </xf>
    <xf numFmtId="0" fontId="5" fillId="14" borderId="26" xfId="0" applyFont="1" applyFill="1" applyBorder="1" applyAlignment="1" applyProtection="1">
      <alignment wrapText="1"/>
      <protection locked="0"/>
    </xf>
    <xf numFmtId="9" fontId="5" fillId="22" borderId="27" xfId="1" applyFont="1" applyFill="1" applyBorder="1" applyAlignment="1" applyProtection="1">
      <alignment horizontal="center" vertical="center"/>
      <protection locked="0"/>
    </xf>
    <xf numFmtId="9" fontId="5" fillId="22" borderId="29" xfId="1" applyFont="1" applyFill="1" applyBorder="1" applyAlignment="1" applyProtection="1">
      <alignment horizontal="center" vertical="center"/>
      <protection locked="0"/>
    </xf>
    <xf numFmtId="9" fontId="5" fillId="22" borderId="30" xfId="1" applyFont="1" applyFill="1" applyBorder="1" applyAlignment="1" applyProtection="1">
      <alignment horizontal="center" vertical="center"/>
      <protection locked="0"/>
    </xf>
    <xf numFmtId="0" fontId="5" fillId="14" borderId="29" xfId="2" quotePrefix="1" applyFont="1" applyFill="1" applyBorder="1" applyAlignment="1" applyProtection="1">
      <alignment vertical="center" wrapText="1"/>
      <protection locked="0"/>
    </xf>
    <xf numFmtId="9" fontId="5" fillId="22" borderId="25" xfId="1" applyFont="1" applyFill="1" applyBorder="1" applyAlignment="1" applyProtection="1">
      <alignment horizontal="center" vertical="center"/>
      <protection locked="0"/>
    </xf>
    <xf numFmtId="9" fontId="5" fillId="22" borderId="28" xfId="1" applyFont="1" applyFill="1" applyBorder="1" applyAlignment="1" applyProtection="1">
      <alignment horizontal="center" vertical="center"/>
      <protection locked="0"/>
    </xf>
    <xf numFmtId="0" fontId="1" fillId="0" borderId="0" xfId="0" applyFont="1" applyFill="1"/>
    <xf numFmtId="0" fontId="79" fillId="0" borderId="0" xfId="0" applyFont="1" applyFill="1"/>
    <xf numFmtId="0" fontId="5" fillId="0" borderId="0" xfId="0" applyFont="1" applyFill="1" applyAlignment="1">
      <alignment horizontal="left"/>
    </xf>
    <xf numFmtId="0" fontId="5" fillId="0" borderId="0" xfId="0" applyFont="1" applyFill="1" applyAlignment="1">
      <alignment vertical="center" wrapText="1"/>
    </xf>
    <xf numFmtId="1" fontId="5" fillId="0" borderId="0" xfId="1" applyNumberFormat="1" applyFont="1" applyFill="1" applyAlignment="1">
      <alignment vertical="center"/>
    </xf>
    <xf numFmtId="0" fontId="10"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26" fillId="0" borderId="0" xfId="0" applyFont="1" applyFill="1"/>
    <xf numFmtId="0" fontId="27" fillId="0" borderId="0" xfId="0" applyFont="1" applyFill="1" applyAlignment="1">
      <alignment horizontal="center" vertical="center" wrapText="1"/>
    </xf>
    <xf numFmtId="0" fontId="33" fillId="0" borderId="0" xfId="0" applyFont="1" applyFill="1" applyAlignment="1">
      <alignment horizontal="center" vertical="center" wrapText="1"/>
    </xf>
    <xf numFmtId="0" fontId="80" fillId="0" borderId="0" xfId="0" applyFont="1" applyFill="1" applyAlignment="1">
      <alignment horizontal="center" vertical="center" wrapText="1"/>
    </xf>
    <xf numFmtId="0" fontId="81" fillId="0" borderId="0" xfId="0" applyFont="1" applyFill="1" applyAlignment="1">
      <alignment horizontal="center" vertical="center" wrapText="1"/>
    </xf>
    <xf numFmtId="0" fontId="29" fillId="0" borderId="0" xfId="0" applyFont="1" applyFill="1" applyAlignment="1">
      <alignment horizontal="center" vertical="center" wrapText="1"/>
    </xf>
    <xf numFmtId="0" fontId="26" fillId="0" borderId="0" xfId="0" applyFont="1" applyFill="1" applyAlignment="1">
      <alignment horizontal="center" vertical="center" wrapText="1"/>
    </xf>
    <xf numFmtId="1" fontId="29" fillId="0" borderId="0" xfId="1" applyNumberFormat="1" applyFont="1" applyFill="1" applyAlignment="1">
      <alignment horizontal="center" vertical="center" wrapText="1"/>
    </xf>
    <xf numFmtId="10" fontId="26" fillId="0" borderId="0" xfId="1" applyNumberFormat="1" applyFont="1" applyFill="1" applyBorder="1" applyAlignment="1">
      <alignment horizontal="center" vertical="center" wrapText="1"/>
    </xf>
    <xf numFmtId="0" fontId="30" fillId="0" borderId="0" xfId="0" applyFont="1" applyFill="1" applyAlignment="1">
      <alignment horizontal="center" vertical="center" wrapText="1"/>
    </xf>
    <xf numFmtId="0" fontId="26" fillId="0" borderId="0" xfId="0" applyFont="1" applyFill="1" applyAlignment="1">
      <alignment horizontal="left" vertical="center" wrapText="1"/>
    </xf>
    <xf numFmtId="0" fontId="32" fillId="0" borderId="0" xfId="0" applyFont="1" applyFill="1" applyAlignment="1">
      <alignment horizontal="center" vertical="center" wrapText="1"/>
    </xf>
    <xf numFmtId="0" fontId="26" fillId="0" borderId="0" xfId="0" applyFont="1" applyFill="1" applyAlignment="1">
      <alignment vertical="center" wrapText="1"/>
    </xf>
    <xf numFmtId="1" fontId="26" fillId="0" borderId="0" xfId="1" applyNumberFormat="1" applyFont="1" applyFill="1" applyAlignment="1">
      <alignment horizontal="center" vertical="center" wrapText="1"/>
    </xf>
    <xf numFmtId="0" fontId="25" fillId="0" borderId="0" xfId="0" applyFont="1" applyFill="1" applyAlignment="1">
      <alignment horizontal="center" vertical="center" wrapText="1"/>
    </xf>
    <xf numFmtId="0" fontId="5" fillId="14" borderId="32" xfId="2" applyFont="1" applyFill="1" applyBorder="1" applyAlignment="1" applyProtection="1">
      <alignment horizontal="center" vertical="center" wrapText="1"/>
      <protection locked="0"/>
    </xf>
    <xf numFmtId="0" fontId="7" fillId="14" borderId="26" xfId="2" quotePrefix="1" applyFont="1" applyFill="1" applyBorder="1" applyAlignment="1" applyProtection="1">
      <alignment vertical="center" wrapText="1"/>
      <protection locked="0"/>
    </xf>
    <xf numFmtId="9" fontId="5" fillId="22" borderId="29" xfId="1" applyFont="1" applyFill="1" applyBorder="1" applyProtection="1">
      <protection locked="0"/>
    </xf>
    <xf numFmtId="9" fontId="5" fillId="22" borderId="30" xfId="1" applyFont="1" applyFill="1" applyBorder="1" applyProtection="1">
      <protection locked="0"/>
    </xf>
    <xf numFmtId="9" fontId="5" fillId="22" borderId="32" xfId="1" applyFont="1" applyFill="1" applyBorder="1" applyAlignment="1" applyProtection="1">
      <alignment horizontal="center" vertical="center"/>
      <protection locked="0"/>
    </xf>
    <xf numFmtId="0" fontId="5" fillId="14" borderId="32" xfId="0" applyFont="1" applyFill="1" applyBorder="1" applyAlignment="1" applyProtection="1">
      <alignment wrapText="1"/>
      <protection locked="0"/>
    </xf>
    <xf numFmtId="9" fontId="5" fillId="22" borderId="33" xfId="1" applyFont="1" applyFill="1" applyBorder="1" applyAlignment="1" applyProtection="1">
      <alignment horizontal="center" vertical="center"/>
      <protection locked="0"/>
    </xf>
    <xf numFmtId="0" fontId="7" fillId="14" borderId="2" xfId="2" quotePrefix="1" applyFont="1" applyFill="1" applyBorder="1" applyAlignment="1" applyProtection="1">
      <alignment vertical="center" wrapText="1"/>
      <protection locked="0"/>
    </xf>
    <xf numFmtId="0" fontId="5" fillId="14" borderId="5" xfId="2" applyFont="1" applyFill="1" applyBorder="1" applyAlignment="1" applyProtection="1">
      <alignment vertical="center" wrapText="1"/>
      <protection locked="0"/>
    </xf>
    <xf numFmtId="9" fontId="5" fillId="22" borderId="4" xfId="1" applyFont="1" applyFill="1" applyBorder="1" applyAlignment="1" applyProtection="1">
      <alignment vertical="center" wrapText="1"/>
      <protection locked="0"/>
    </xf>
    <xf numFmtId="9" fontId="5" fillId="22" borderId="6" xfId="1" applyFont="1" applyFill="1" applyBorder="1" applyAlignment="1" applyProtection="1">
      <alignment vertical="center" wrapText="1"/>
      <protection locked="0"/>
    </xf>
    <xf numFmtId="0" fontId="5" fillId="14" borderId="5" xfId="0" applyFont="1" applyFill="1" applyBorder="1" applyAlignment="1" applyProtection="1">
      <alignment vertical="center" wrapText="1"/>
      <protection locked="0"/>
    </xf>
    <xf numFmtId="0" fontId="5" fillId="14" borderId="5" xfId="0" quotePrefix="1" applyFont="1" applyFill="1" applyBorder="1" applyAlignment="1" applyProtection="1">
      <alignment vertical="center" wrapText="1"/>
      <protection locked="0"/>
    </xf>
    <xf numFmtId="0" fontId="7" fillId="14" borderId="5" xfId="0" applyFont="1" applyFill="1" applyBorder="1" applyAlignment="1" applyProtection="1">
      <alignment vertical="top" wrapText="1"/>
      <protection locked="0"/>
    </xf>
    <xf numFmtId="9" fontId="5" fillId="22" borderId="4" xfId="1" applyFont="1" applyFill="1" applyBorder="1" applyProtection="1">
      <protection locked="0"/>
    </xf>
    <xf numFmtId="9" fontId="5" fillId="22" borderId="6" xfId="1" applyFont="1" applyFill="1" applyBorder="1" applyProtection="1">
      <protection locked="0"/>
    </xf>
    <xf numFmtId="0" fontId="5" fillId="14" borderId="9" xfId="0" applyFont="1" applyFill="1" applyBorder="1" applyAlignment="1" applyProtection="1">
      <alignment wrapText="1"/>
      <protection locked="0"/>
    </xf>
    <xf numFmtId="1" fontId="26" fillId="0" borderId="1" xfId="1" applyNumberFormat="1" applyFont="1" applyBorder="1" applyAlignment="1">
      <alignment horizontal="center" vertical="center" wrapText="1"/>
    </xf>
    <xf numFmtId="10" fontId="26" fillId="0" borderId="2" xfId="1" applyNumberFormat="1" applyFont="1" applyBorder="1" applyAlignment="1">
      <alignment horizontal="center" vertical="center" wrapText="1"/>
    </xf>
    <xf numFmtId="0" fontId="5" fillId="14" borderId="2" xfId="0" applyFont="1" applyFill="1" applyBorder="1" applyProtection="1">
      <protection locked="0"/>
    </xf>
    <xf numFmtId="10" fontId="26" fillId="0" borderId="5" xfId="1" applyNumberFormat="1" applyFont="1" applyBorder="1" applyAlignment="1">
      <alignment horizontal="center" vertical="center" wrapText="1"/>
    </xf>
    <xf numFmtId="1" fontId="26" fillId="0" borderId="8" xfId="1" applyNumberFormat="1" applyFont="1" applyBorder="1" applyAlignment="1">
      <alignment horizontal="center" vertical="center" wrapText="1"/>
    </xf>
    <xf numFmtId="10" fontId="26" fillId="0" borderId="9" xfId="1" applyNumberFormat="1" applyFont="1" applyBorder="1" applyAlignment="1">
      <alignment horizontal="center" vertical="center" wrapText="1"/>
    </xf>
    <xf numFmtId="1" fontId="29" fillId="0" borderId="0" xfId="1" applyNumberFormat="1" applyFont="1" applyFill="1" applyBorder="1" applyAlignment="1">
      <alignment horizontal="center" vertical="center" wrapText="1"/>
    </xf>
    <xf numFmtId="9" fontId="5" fillId="0" borderId="0" xfId="1" applyFont="1" applyFill="1" applyBorder="1" applyAlignment="1" applyProtection="1">
      <alignment horizontal="center" vertical="center" wrapText="1"/>
      <protection locked="0"/>
    </xf>
    <xf numFmtId="0" fontId="5" fillId="0" borderId="0" xfId="0" applyFont="1" applyFill="1" applyBorder="1" applyProtection="1">
      <protection locked="0"/>
    </xf>
    <xf numFmtId="0" fontId="1" fillId="0" borderId="0" xfId="2" applyFont="1" applyFill="1" applyAlignment="1">
      <alignment horizontal="center" vertical="center" wrapText="1"/>
    </xf>
    <xf numFmtId="10" fontId="5" fillId="0" borderId="29" xfId="1" applyNumberFormat="1" applyFont="1" applyFill="1" applyBorder="1" applyAlignment="1" applyProtection="1">
      <alignment horizontal="center" vertical="center"/>
      <protection locked="0"/>
    </xf>
    <xf numFmtId="0" fontId="77" fillId="0" borderId="0" xfId="0" applyFont="1" applyFill="1"/>
    <xf numFmtId="0" fontId="0" fillId="0" borderId="0" xfId="0" applyFill="1" applyAlignment="1">
      <alignment vertical="center"/>
    </xf>
    <xf numFmtId="9" fontId="5" fillId="22" borderId="31" xfId="1" applyFont="1" applyFill="1" applyBorder="1" applyAlignment="1" applyProtection="1">
      <alignment vertical="center" wrapText="1"/>
      <protection locked="0"/>
    </xf>
    <xf numFmtId="9" fontId="5" fillId="22" borderId="33" xfId="1" applyFont="1" applyFill="1" applyBorder="1" applyAlignment="1" applyProtection="1">
      <alignment vertical="center" wrapText="1"/>
      <protection locked="0"/>
    </xf>
    <xf numFmtId="9" fontId="5" fillId="22" borderId="32" xfId="1" applyFont="1" applyFill="1" applyBorder="1" applyAlignment="1" applyProtection="1">
      <alignment vertical="center" wrapText="1"/>
      <protection locked="0"/>
    </xf>
    <xf numFmtId="9" fontId="5" fillId="22" borderId="26" xfId="1" quotePrefix="1" applyFont="1" applyFill="1" applyBorder="1" applyAlignment="1" applyProtection="1">
      <alignment horizontal="center" vertical="center" wrapText="1"/>
      <protection locked="0"/>
    </xf>
    <xf numFmtId="9" fontId="5" fillId="22" borderId="27" xfId="1" quotePrefix="1" applyFont="1" applyFill="1" applyBorder="1" applyAlignment="1" applyProtection="1">
      <alignment horizontal="center" vertical="center" wrapText="1"/>
      <protection locked="0"/>
    </xf>
    <xf numFmtId="9" fontId="5" fillId="22" borderId="25" xfId="1" quotePrefix="1" applyFont="1" applyFill="1" applyBorder="1" applyAlignment="1" applyProtection="1">
      <alignment horizontal="center" vertical="center" wrapText="1"/>
      <protection locked="0"/>
    </xf>
    <xf numFmtId="10" fontId="0" fillId="0" borderId="0" xfId="1" applyNumberFormat="1" applyFont="1" applyFill="1" applyBorder="1" applyAlignment="1">
      <alignment horizontal="center" vertical="center"/>
    </xf>
    <xf numFmtId="0" fontId="5" fillId="0" borderId="0" xfId="0" applyFont="1" applyFill="1" applyBorder="1" applyAlignment="1" applyProtection="1">
      <alignment vertical="center" wrapText="1"/>
      <protection locked="0"/>
    </xf>
    <xf numFmtId="1" fontId="0" fillId="0" borderId="0" xfId="1" applyNumberFormat="1" applyFont="1" applyFill="1" applyBorder="1" applyAlignment="1">
      <alignment horizontal="center" vertical="center"/>
    </xf>
    <xf numFmtId="0" fontId="5" fillId="0" borderId="0" xfId="2" quotePrefix="1" applyFont="1" applyFill="1" applyBorder="1" applyAlignment="1" applyProtection="1">
      <alignment vertical="center" wrapText="1"/>
      <protection locked="0"/>
    </xf>
    <xf numFmtId="0" fontId="7" fillId="14" borderId="32" xfId="2" quotePrefix="1" applyFont="1" applyFill="1" applyBorder="1" applyAlignment="1" applyProtection="1">
      <alignment vertical="center" wrapText="1"/>
      <protection locked="0"/>
    </xf>
    <xf numFmtId="0" fontId="0" fillId="0" borderId="0" xfId="0" applyBorder="1" applyAlignment="1">
      <alignment horizontal="center" vertical="center" wrapText="1"/>
    </xf>
    <xf numFmtId="9" fontId="0" fillId="0" borderId="0" xfId="1" applyFont="1" applyBorder="1" applyAlignment="1">
      <alignment horizontal="center" vertical="center"/>
    </xf>
    <xf numFmtId="0" fontId="3" fillId="0" borderId="0" xfId="0" applyFont="1" applyFill="1" applyAlignment="1">
      <alignment horizontal="center"/>
    </xf>
    <xf numFmtId="0" fontId="16" fillId="0" borderId="0" xfId="0" applyFont="1" applyAlignment="1">
      <alignment horizontal="center" vertical="center"/>
    </xf>
    <xf numFmtId="165" fontId="16" fillId="0" borderId="0" xfId="0" applyNumberFormat="1" applyFont="1"/>
    <xf numFmtId="0" fontId="77" fillId="0" borderId="0" xfId="0" applyFont="1" applyAlignment="1">
      <alignment horizontal="right"/>
    </xf>
    <xf numFmtId="9" fontId="77" fillId="0" borderId="0" xfId="0" applyNumberFormat="1" applyFont="1"/>
    <xf numFmtId="0" fontId="78" fillId="0" borderId="0" xfId="0" applyFont="1" applyAlignment="1">
      <alignment horizontal="right" wrapText="1"/>
    </xf>
    <xf numFmtId="0" fontId="3" fillId="0" borderId="16" xfId="1" applyNumberFormat="1" applyFont="1" applyBorder="1" applyAlignment="1">
      <alignment horizontal="center"/>
    </xf>
    <xf numFmtId="0" fontId="0" fillId="0" borderId="16" xfId="1" applyNumberFormat="1" applyFont="1" applyBorder="1" applyAlignment="1">
      <alignment horizontal="center"/>
    </xf>
    <xf numFmtId="1" fontId="3" fillId="0" borderId="16" xfId="1" applyNumberFormat="1" applyFont="1" applyBorder="1" applyAlignment="1">
      <alignment horizontal="center"/>
    </xf>
    <xf numFmtId="0" fontId="0" fillId="0" borderId="16" xfId="1" applyNumberFormat="1" applyFont="1" applyFill="1" applyBorder="1" applyAlignment="1">
      <alignment horizontal="center"/>
    </xf>
    <xf numFmtId="1" fontId="3" fillId="0" borderId="50" xfId="1" applyNumberFormat="1" applyFont="1" applyBorder="1" applyAlignment="1">
      <alignment horizontal="center"/>
    </xf>
    <xf numFmtId="1" fontId="3" fillId="0" borderId="52" xfId="1" applyNumberFormat="1" applyFont="1" applyBorder="1" applyAlignment="1">
      <alignment horizontal="center"/>
    </xf>
    <xf numFmtId="0" fontId="0" fillId="0" borderId="56" xfId="1" applyNumberFormat="1" applyFont="1" applyBorder="1" applyAlignment="1">
      <alignment horizontal="center"/>
    </xf>
    <xf numFmtId="1" fontId="3" fillId="0" borderId="56" xfId="1" applyNumberFormat="1" applyFont="1" applyBorder="1" applyAlignment="1">
      <alignment horizontal="center"/>
    </xf>
    <xf numFmtId="0" fontId="3" fillId="0" borderId="89" xfId="1" applyNumberFormat="1" applyFont="1" applyBorder="1" applyAlignment="1">
      <alignment horizontal="center"/>
    </xf>
    <xf numFmtId="0" fontId="0" fillId="0" borderId="19" xfId="1" applyNumberFormat="1" applyFont="1" applyBorder="1" applyAlignment="1">
      <alignment horizontal="center"/>
    </xf>
    <xf numFmtId="0" fontId="3" fillId="0" borderId="19" xfId="1" applyNumberFormat="1" applyFont="1" applyBorder="1" applyAlignment="1">
      <alignment horizontal="center"/>
    </xf>
    <xf numFmtId="1" fontId="3" fillId="0" borderId="19" xfId="1" applyNumberFormat="1" applyFont="1" applyBorder="1" applyAlignment="1">
      <alignment horizontal="center"/>
    </xf>
    <xf numFmtId="0" fontId="3" fillId="0" borderId="83" xfId="0" applyFont="1" applyBorder="1" applyAlignment="1">
      <alignment horizontal="center" vertical="center" wrapText="1"/>
    </xf>
    <xf numFmtId="0" fontId="3" fillId="0" borderId="54" xfId="0" applyFont="1" applyBorder="1" applyAlignment="1">
      <alignment horizontal="center" vertical="center" wrapText="1"/>
    </xf>
    <xf numFmtId="0" fontId="0" fillId="0" borderId="90" xfId="0" applyBorder="1" applyAlignment="1">
      <alignment horizontal="center" vertical="center" wrapText="1"/>
    </xf>
    <xf numFmtId="0" fontId="0" fillId="0" borderId="57" xfId="0" applyBorder="1" applyAlignment="1">
      <alignment horizontal="center" vertical="center" wrapText="1"/>
    </xf>
    <xf numFmtId="0" fontId="0" fillId="0" borderId="62" xfId="1" applyNumberFormat="1" applyFont="1" applyBorder="1" applyAlignment="1">
      <alignment horizontal="center"/>
    </xf>
    <xf numFmtId="0" fontId="0" fillId="0" borderId="65" xfId="1" applyNumberFormat="1" applyFont="1" applyBorder="1" applyAlignment="1">
      <alignment horizontal="center"/>
    </xf>
    <xf numFmtId="0" fontId="0" fillId="0" borderId="91" xfId="1" applyNumberFormat="1" applyFont="1" applyBorder="1" applyAlignment="1">
      <alignment horizontal="center"/>
    </xf>
    <xf numFmtId="165" fontId="0" fillId="0" borderId="16" xfId="1" applyNumberFormat="1" applyFont="1" applyBorder="1" applyAlignment="1">
      <alignment horizontal="center"/>
    </xf>
    <xf numFmtId="165" fontId="0" fillId="0" borderId="50" xfId="1" applyNumberFormat="1" applyFont="1" applyBorder="1" applyAlignment="1">
      <alignment horizontal="center"/>
    </xf>
    <xf numFmtId="165" fontId="0" fillId="0" borderId="52" xfId="1" applyNumberFormat="1" applyFont="1" applyBorder="1" applyAlignment="1">
      <alignment horizontal="center"/>
    </xf>
    <xf numFmtId="165" fontId="0" fillId="0" borderId="56" xfId="1" applyNumberFormat="1" applyFont="1" applyBorder="1" applyAlignment="1">
      <alignment horizontal="center"/>
    </xf>
    <xf numFmtId="165" fontId="0" fillId="0" borderId="89" xfId="1" applyNumberFormat="1" applyFont="1" applyBorder="1" applyAlignment="1">
      <alignment horizontal="center"/>
    </xf>
    <xf numFmtId="165" fontId="0" fillId="0" borderId="19" xfId="1" applyNumberFormat="1" applyFont="1" applyBorder="1" applyAlignment="1">
      <alignment horizontal="center"/>
    </xf>
    <xf numFmtId="0" fontId="0" fillId="0" borderId="83" xfId="0" applyBorder="1" applyAlignment="1">
      <alignment horizontal="center" vertical="center" wrapText="1"/>
    </xf>
    <xf numFmtId="165" fontId="0" fillId="0" borderId="62" xfId="1" applyNumberFormat="1" applyFont="1" applyBorder="1" applyAlignment="1">
      <alignment horizontal="center"/>
    </xf>
    <xf numFmtId="165" fontId="0" fillId="0" borderId="65" xfId="1" applyNumberFormat="1" applyFont="1" applyBorder="1" applyAlignment="1">
      <alignment horizontal="center"/>
    </xf>
    <xf numFmtId="165" fontId="0" fillId="0" borderId="91" xfId="1" applyNumberFormat="1" applyFont="1" applyBorder="1" applyAlignment="1">
      <alignment horizontal="center"/>
    </xf>
    <xf numFmtId="164" fontId="0" fillId="0" borderId="16" xfId="1" applyNumberFormat="1" applyFont="1" applyBorder="1" applyAlignment="1">
      <alignment horizontal="center"/>
    </xf>
    <xf numFmtId="0" fontId="3" fillId="0" borderId="0" xfId="0" applyFont="1" applyBorder="1" applyAlignment="1">
      <alignment horizontal="center"/>
    </xf>
    <xf numFmtId="164" fontId="0" fillId="0" borderId="50" xfId="1" applyNumberFormat="1" applyFont="1" applyBorder="1" applyAlignment="1">
      <alignment horizontal="center"/>
    </xf>
    <xf numFmtId="164" fontId="0" fillId="0" borderId="51" xfId="1" applyNumberFormat="1" applyFont="1" applyBorder="1" applyAlignment="1">
      <alignment horizontal="center"/>
    </xf>
    <xf numFmtId="164" fontId="0" fillId="0" borderId="52" xfId="1" applyNumberFormat="1" applyFont="1" applyBorder="1" applyAlignment="1">
      <alignment horizontal="center"/>
    </xf>
    <xf numFmtId="164" fontId="0" fillId="0" borderId="56" xfId="1" applyNumberFormat="1" applyFont="1" applyBorder="1" applyAlignment="1">
      <alignment horizontal="center"/>
    </xf>
    <xf numFmtId="164" fontId="0" fillId="0" borderId="53" xfId="1" applyNumberFormat="1" applyFont="1" applyBorder="1" applyAlignment="1">
      <alignment horizontal="center"/>
    </xf>
    <xf numFmtId="1" fontId="16" fillId="0" borderId="0" xfId="0" applyNumberFormat="1" applyFont="1"/>
    <xf numFmtId="0" fontId="77" fillId="0" borderId="0" xfId="0" applyFont="1" applyBorder="1" applyAlignment="1">
      <alignment horizontal="center" vertical="center" wrapText="1"/>
    </xf>
    <xf numFmtId="0" fontId="16" fillId="0" borderId="0" xfId="1" applyNumberFormat="1" applyFont="1" applyBorder="1" applyAlignment="1">
      <alignment horizontal="left"/>
    </xf>
    <xf numFmtId="9" fontId="0" fillId="0" borderId="48" xfId="1" applyFont="1" applyBorder="1" applyAlignment="1">
      <alignment horizontal="center"/>
    </xf>
    <xf numFmtId="9" fontId="0" fillId="0" borderId="50" xfId="1" applyFont="1" applyBorder="1" applyAlignment="1">
      <alignment horizontal="center"/>
    </xf>
    <xf numFmtId="9" fontId="0" fillId="0" borderId="94" xfId="1" applyFont="1" applyBorder="1" applyAlignment="1">
      <alignment horizontal="center"/>
    </xf>
    <xf numFmtId="9" fontId="0" fillId="0" borderId="52" xfId="1" applyFont="1" applyBorder="1" applyAlignment="1">
      <alignment horizontal="center"/>
    </xf>
    <xf numFmtId="9" fontId="0" fillId="0" borderId="89" xfId="1" applyFont="1" applyBorder="1" applyAlignment="1">
      <alignment horizontal="center"/>
    </xf>
    <xf numFmtId="9" fontId="0" fillId="0" borderId="96" xfId="1" applyFont="1" applyBorder="1" applyAlignment="1">
      <alignment horizontal="center"/>
    </xf>
    <xf numFmtId="9" fontId="0" fillId="0" borderId="65" xfId="1" applyFont="1" applyBorder="1" applyAlignment="1">
      <alignment horizontal="center"/>
    </xf>
    <xf numFmtId="9" fontId="0" fillId="0" borderId="59" xfId="1" applyFont="1" applyBorder="1" applyAlignment="1">
      <alignment horizontal="center"/>
    </xf>
    <xf numFmtId="9" fontId="0" fillId="0" borderId="91" xfId="1" applyFont="1" applyBorder="1" applyAlignment="1">
      <alignment horizontal="center"/>
    </xf>
    <xf numFmtId="9" fontId="0" fillId="0" borderId="62" xfId="1" applyFont="1" applyBorder="1" applyAlignment="1">
      <alignment horizontal="center"/>
    </xf>
    <xf numFmtId="164" fontId="0" fillId="0" borderId="48" xfId="1" applyNumberFormat="1" applyFont="1" applyBorder="1" applyAlignment="1">
      <alignment horizontal="center"/>
    </xf>
    <xf numFmtId="164" fontId="0" fillId="0" borderId="55" xfId="1" applyNumberFormat="1" applyFont="1" applyBorder="1" applyAlignment="1">
      <alignment horizontal="center"/>
    </xf>
    <xf numFmtId="164" fontId="0" fillId="0" borderId="49" xfId="1" applyNumberFormat="1" applyFont="1" applyBorder="1" applyAlignment="1">
      <alignment horizontal="center"/>
    </xf>
    <xf numFmtId="9" fontId="5" fillId="0" borderId="0" xfId="1" applyFont="1" applyAlignment="1">
      <alignment horizontal="center" vertical="center"/>
    </xf>
    <xf numFmtId="9" fontId="7" fillId="14" borderId="0" xfId="1" applyFont="1" applyFill="1" applyAlignment="1">
      <alignment horizontal="center" vertical="center" wrapText="1"/>
    </xf>
    <xf numFmtId="9" fontId="5" fillId="0" borderId="26" xfId="1" applyFont="1" applyBorder="1" applyAlignment="1" applyProtection="1">
      <alignment horizontal="center" vertical="center"/>
      <protection locked="0"/>
    </xf>
    <xf numFmtId="9" fontId="5" fillId="0" borderId="29" xfId="1" applyFont="1" applyBorder="1" applyAlignment="1" applyProtection="1">
      <alignment horizontal="center" vertical="center"/>
      <protection locked="0"/>
    </xf>
    <xf numFmtId="9" fontId="5" fillId="0" borderId="32" xfId="1" applyFont="1" applyBorder="1" applyAlignment="1" applyProtection="1">
      <alignment horizontal="center" vertical="center"/>
      <protection locked="0"/>
    </xf>
    <xf numFmtId="9" fontId="5" fillId="0" borderId="86" xfId="1" applyFont="1" applyFill="1" applyBorder="1" applyAlignment="1" applyProtection="1">
      <alignment horizontal="center" vertical="center"/>
      <protection locked="0"/>
    </xf>
    <xf numFmtId="9" fontId="5" fillId="0" borderId="2" xfId="1" applyFont="1" applyBorder="1" applyAlignment="1" applyProtection="1">
      <alignment horizontal="center" vertical="center"/>
      <protection locked="0"/>
    </xf>
    <xf numFmtId="9" fontId="5" fillId="0" borderId="5" xfId="1" applyFont="1" applyBorder="1" applyAlignment="1" applyProtection="1">
      <alignment horizontal="center" vertical="center"/>
      <protection locked="0"/>
    </xf>
    <xf numFmtId="9" fontId="5" fillId="0" borderId="29" xfId="1" applyFont="1" applyFill="1" applyBorder="1" applyAlignment="1" applyProtection="1">
      <alignment horizontal="center" vertical="center"/>
      <protection locked="0"/>
    </xf>
    <xf numFmtId="9" fontId="5" fillId="0" borderId="2" xfId="1" applyFont="1" applyFill="1" applyBorder="1" applyAlignment="1" applyProtection="1">
      <alignment horizontal="center" vertical="center" wrapText="1"/>
      <protection locked="0"/>
    </xf>
    <xf numFmtId="0" fontId="85" fillId="0" borderId="0" xfId="0" applyFont="1" applyAlignment="1">
      <alignment wrapText="1"/>
    </xf>
    <xf numFmtId="0" fontId="85" fillId="0" borderId="0" xfId="0" applyFont="1"/>
    <xf numFmtId="9" fontId="5" fillId="0" borderId="9" xfId="1" applyFont="1" applyBorder="1" applyAlignment="1" applyProtection="1">
      <alignment horizontal="center" vertical="center"/>
      <protection locked="0"/>
    </xf>
    <xf numFmtId="0" fontId="5" fillId="22" borderId="30" xfId="0" applyFont="1" applyFill="1" applyBorder="1" applyProtection="1">
      <protection locked="0"/>
    </xf>
    <xf numFmtId="0" fontId="5" fillId="22" borderId="33" xfId="0" applyFont="1" applyFill="1" applyBorder="1" applyProtection="1">
      <protection locked="0"/>
    </xf>
    <xf numFmtId="9" fontId="5" fillId="0" borderId="0" xfId="1" applyFont="1" applyFill="1" applyProtection="1">
      <protection locked="0"/>
    </xf>
    <xf numFmtId="9" fontId="5" fillId="0" borderId="0" xfId="1" applyFont="1" applyFill="1" applyAlignment="1" applyProtection="1">
      <alignment horizontal="center" vertical="center"/>
      <protection locked="0"/>
    </xf>
    <xf numFmtId="0" fontId="5" fillId="0" borderId="0" xfId="0" applyFont="1" applyFill="1" applyProtection="1">
      <protection locked="0"/>
    </xf>
    <xf numFmtId="9" fontId="5" fillId="22" borderId="26" xfId="1" applyFont="1" applyFill="1" applyBorder="1" applyProtection="1">
      <protection locked="0"/>
    </xf>
    <xf numFmtId="0" fontId="5" fillId="22" borderId="27" xfId="0" applyFont="1" applyFill="1" applyBorder="1" applyProtection="1">
      <protection locked="0"/>
    </xf>
    <xf numFmtId="9" fontId="5" fillId="22" borderId="2" xfId="1" applyFont="1" applyFill="1" applyBorder="1" applyProtection="1">
      <protection locked="0"/>
    </xf>
    <xf numFmtId="0" fontId="5" fillId="22" borderId="3" xfId="0" applyFont="1" applyFill="1" applyBorder="1" applyProtection="1">
      <protection locked="0"/>
    </xf>
    <xf numFmtId="9" fontId="5" fillId="22" borderId="5" xfId="1" applyFont="1" applyFill="1" applyBorder="1" applyProtection="1">
      <protection locked="0"/>
    </xf>
    <xf numFmtId="0" fontId="5" fillId="22" borderId="6" xfId="0" applyFont="1" applyFill="1" applyBorder="1" applyProtection="1">
      <protection locked="0"/>
    </xf>
    <xf numFmtId="9" fontId="5" fillId="22" borderId="9" xfId="1" applyFont="1" applyFill="1" applyBorder="1" applyProtection="1">
      <protection locked="0"/>
    </xf>
    <xf numFmtId="0" fontId="5" fillId="14" borderId="9" xfId="0" applyFont="1" applyFill="1" applyBorder="1" applyProtection="1">
      <protection locked="0"/>
    </xf>
    <xf numFmtId="0" fontId="5" fillId="22" borderId="10" xfId="0" applyFont="1" applyFill="1" applyBorder="1" applyProtection="1">
      <protection locked="0"/>
    </xf>
    <xf numFmtId="9" fontId="5" fillId="22" borderId="28" xfId="1" applyFont="1" applyFill="1" applyBorder="1" applyProtection="1">
      <protection locked="0"/>
    </xf>
    <xf numFmtId="9" fontId="5" fillId="22" borderId="25" xfId="1" applyFont="1" applyFill="1" applyBorder="1" applyProtection="1">
      <protection locked="0"/>
    </xf>
    <xf numFmtId="9" fontId="5" fillId="22" borderId="34" xfId="1" applyFont="1" applyFill="1" applyBorder="1" applyProtection="1">
      <protection locked="0"/>
    </xf>
    <xf numFmtId="9" fontId="5" fillId="0" borderId="35" xfId="1" applyFont="1" applyBorder="1" applyAlignment="1" applyProtection="1">
      <alignment horizontal="center" vertical="center"/>
      <protection locked="0"/>
    </xf>
    <xf numFmtId="0" fontId="5" fillId="14" borderId="35" xfId="0" applyFont="1" applyFill="1" applyBorder="1" applyProtection="1">
      <protection locked="0"/>
    </xf>
    <xf numFmtId="0" fontId="5" fillId="22" borderId="87" xfId="0" applyFont="1" applyFill="1" applyBorder="1" applyProtection="1">
      <protection locked="0"/>
    </xf>
    <xf numFmtId="9" fontId="5" fillId="0" borderId="88" xfId="1" applyFont="1" applyFill="1" applyBorder="1" applyProtection="1">
      <protection locked="0"/>
    </xf>
    <xf numFmtId="9" fontId="5" fillId="0" borderId="88" xfId="1" applyFont="1" applyFill="1" applyBorder="1" applyAlignment="1" applyProtection="1">
      <alignment horizontal="center" vertical="center"/>
      <protection locked="0"/>
    </xf>
    <xf numFmtId="0" fontId="5" fillId="0" borderId="88" xfId="0" applyFont="1" applyFill="1" applyBorder="1" applyProtection="1">
      <protection locked="0"/>
    </xf>
    <xf numFmtId="9" fontId="5" fillId="22" borderId="1" xfId="1" applyFont="1" applyFill="1" applyBorder="1" applyProtection="1">
      <protection locked="0"/>
    </xf>
    <xf numFmtId="9" fontId="5" fillId="22" borderId="8" xfId="1" applyFont="1" applyFill="1" applyBorder="1" applyProtection="1">
      <protection locked="0"/>
    </xf>
    <xf numFmtId="0" fontId="5" fillId="0" borderId="30" xfId="0" applyFont="1" applyBorder="1"/>
    <xf numFmtId="0" fontId="0" fillId="0" borderId="14" xfId="0" applyFill="1" applyBorder="1"/>
    <xf numFmtId="0" fontId="0" fillId="0" borderId="0" xfId="0" applyFill="1" applyAlignment="1">
      <alignment horizontal="left" wrapText="1"/>
    </xf>
    <xf numFmtId="0" fontId="0" fillId="0" borderId="0" xfId="0" applyFill="1" applyAlignment="1" applyProtection="1">
      <alignment horizontal="center" vertical="center"/>
      <protection locked="0"/>
    </xf>
    <xf numFmtId="0" fontId="0" fillId="0" borderId="15" xfId="0" applyFill="1" applyBorder="1"/>
    <xf numFmtId="0" fontId="19" fillId="6" borderId="11" xfId="4" applyFont="1" applyFill="1" applyBorder="1" applyAlignment="1">
      <alignment horizontal="center" vertical="center"/>
    </xf>
    <xf numFmtId="0" fontId="19" fillId="6" borderId="12" xfId="4" applyFont="1" applyFill="1" applyBorder="1" applyAlignment="1">
      <alignment horizontal="center" vertical="center"/>
    </xf>
    <xf numFmtId="0" fontId="19" fillId="6" borderId="13" xfId="4" applyFont="1" applyFill="1" applyBorder="1" applyAlignment="1">
      <alignment horizontal="center" vertical="center"/>
    </xf>
    <xf numFmtId="0" fontId="14" fillId="20" borderId="16" xfId="5" applyFont="1" applyFill="1" applyBorder="1" applyAlignment="1">
      <alignment horizontal="center" vertical="center"/>
    </xf>
    <xf numFmtId="0" fontId="5" fillId="20" borderId="16" xfId="5" applyFont="1" applyFill="1" applyBorder="1" applyAlignment="1">
      <alignment horizontal="left" vertical="center" wrapText="1"/>
    </xf>
    <xf numFmtId="0" fontId="18" fillId="0" borderId="0" xfId="4" quotePrefix="1" applyAlignment="1">
      <alignment horizontal="left" vertical="top" wrapText="1"/>
    </xf>
    <xf numFmtId="0" fontId="18" fillId="0" borderId="15" xfId="4" quotePrefix="1" applyBorder="1" applyAlignment="1">
      <alignment horizontal="left" vertical="top" wrapText="1"/>
    </xf>
    <xf numFmtId="0" fontId="0" fillId="0" borderId="0" xfId="0" applyAlignment="1">
      <alignment horizontal="left" vertical="center" wrapText="1"/>
    </xf>
    <xf numFmtId="0" fontId="19" fillId="6" borderId="11" xfId="4" applyFont="1" applyFill="1" applyBorder="1" applyAlignment="1">
      <alignment horizontal="center" vertical="center" wrapText="1"/>
    </xf>
    <xf numFmtId="0" fontId="18" fillId="0" borderId="15" xfId="4" applyBorder="1" applyAlignment="1">
      <alignment horizontal="left" vertical="top"/>
    </xf>
    <xf numFmtId="0" fontId="18" fillId="0" borderId="0" xfId="4" applyAlignment="1">
      <alignment horizontal="left" vertical="top"/>
    </xf>
    <xf numFmtId="0" fontId="18" fillId="0" borderId="15" xfId="4" applyBorder="1" applyAlignment="1">
      <alignment horizontal="left" vertical="top" wrapText="1"/>
    </xf>
    <xf numFmtId="0" fontId="2" fillId="7" borderId="14" xfId="4" applyFont="1" applyFill="1" applyBorder="1" applyAlignment="1">
      <alignment horizontal="left"/>
    </xf>
    <xf numFmtId="0" fontId="2" fillId="7" borderId="0" xfId="4" applyFont="1" applyFill="1" applyAlignment="1">
      <alignment horizontal="left"/>
    </xf>
    <xf numFmtId="0" fontId="2" fillId="7" borderId="15" xfId="4" applyFont="1" applyFill="1" applyBorder="1" applyAlignment="1">
      <alignment horizontal="left"/>
    </xf>
    <xf numFmtId="0" fontId="18" fillId="0" borderId="0" xfId="4" quotePrefix="1" applyAlignment="1">
      <alignment horizontal="left" vertical="center" wrapText="1"/>
    </xf>
    <xf numFmtId="0" fontId="18" fillId="0" borderId="15" xfId="4" quotePrefix="1" applyBorder="1" applyAlignment="1">
      <alignment horizontal="left" vertical="center" wrapText="1"/>
    </xf>
    <xf numFmtId="0" fontId="0" fillId="0" borderId="0" xfId="0" applyAlignment="1">
      <alignment horizontal="left" wrapText="1"/>
    </xf>
    <xf numFmtId="0" fontId="34" fillId="0" borderId="4" xfId="2" applyFont="1" applyBorder="1" applyAlignment="1">
      <alignment horizontal="center" vertical="center" wrapText="1"/>
    </xf>
    <xf numFmtId="0" fontId="4" fillId="13" borderId="0" xfId="0" applyFont="1" applyFill="1" applyAlignment="1">
      <alignment horizontal="center" vertical="center" wrapText="1"/>
    </xf>
    <xf numFmtId="0" fontId="5" fillId="4" borderId="0" xfId="2" applyFont="1" applyFill="1" applyAlignment="1">
      <alignment horizontal="center" vertical="center" wrapText="1"/>
    </xf>
    <xf numFmtId="1" fontId="7" fillId="0" borderId="4" xfId="2" applyNumberFormat="1" applyFont="1" applyBorder="1" applyAlignment="1">
      <alignment horizontal="center" vertical="center" wrapText="1"/>
    </xf>
    <xf numFmtId="1" fontId="5" fillId="0" borderId="4" xfId="2" applyNumberFormat="1" applyFont="1" applyBorder="1" applyAlignment="1">
      <alignment horizontal="center" vertical="center" wrapText="1"/>
    </xf>
    <xf numFmtId="0" fontId="6" fillId="3" borderId="0" xfId="0" applyFont="1" applyFill="1" applyAlignment="1">
      <alignment horizontal="center" vertical="center" wrapText="1"/>
    </xf>
    <xf numFmtId="0" fontId="2" fillId="2" borderId="0" xfId="2" applyFont="1" applyFill="1" applyAlignment="1">
      <alignment horizontal="center" vertical="center" wrapText="1"/>
    </xf>
    <xf numFmtId="0" fontId="4" fillId="2" borderId="0" xfId="0" applyFont="1" applyFill="1" applyAlignment="1">
      <alignment horizontal="center" vertical="center"/>
    </xf>
    <xf numFmtId="0" fontId="10" fillId="0" borderId="0" xfId="0" applyFont="1" applyAlignment="1">
      <alignment horizontal="center" vertical="center"/>
    </xf>
    <xf numFmtId="0" fontId="10" fillId="0" borderId="0" xfId="2" applyFont="1" applyAlignment="1">
      <alignment horizontal="center" vertical="center" wrapText="1"/>
    </xf>
    <xf numFmtId="0" fontId="34" fillId="0" borderId="8" xfId="2" applyFont="1" applyBorder="1" applyAlignment="1">
      <alignment horizontal="center" vertical="center" wrapText="1"/>
    </xf>
    <xf numFmtId="1" fontId="7" fillId="0" borderId="1"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5" fillId="0" borderId="8" xfId="2" applyNumberFormat="1" applyFont="1" applyBorder="1" applyAlignment="1">
      <alignment horizontal="center" vertical="center" wrapText="1"/>
    </xf>
    <xf numFmtId="0" fontId="34" fillId="0" borderId="1" xfId="2" applyFont="1" applyBorder="1" applyAlignment="1">
      <alignment horizontal="center" vertical="center" wrapText="1"/>
    </xf>
    <xf numFmtId="0" fontId="7" fillId="4" borderId="0" xfId="2" applyFont="1" applyFill="1" applyAlignment="1">
      <alignment horizontal="center" vertical="center" wrapText="1"/>
    </xf>
    <xf numFmtId="0" fontId="10" fillId="15" borderId="58" xfId="2" applyFont="1" applyFill="1" applyBorder="1" applyAlignment="1">
      <alignment horizontal="center" vertical="center" wrapText="1"/>
    </xf>
    <xf numFmtId="0" fontId="10" fillId="15" borderId="84" xfId="2" applyFont="1" applyFill="1" applyBorder="1" applyAlignment="1">
      <alignment horizontal="center" vertical="center" wrapText="1"/>
    </xf>
    <xf numFmtId="0" fontId="10" fillId="15" borderId="85" xfId="2" applyFont="1" applyFill="1" applyBorder="1" applyAlignment="1">
      <alignment horizontal="center" vertical="center" wrapText="1"/>
    </xf>
    <xf numFmtId="1" fontId="5" fillId="5" borderId="28" xfId="1" applyNumberFormat="1" applyFont="1" applyFill="1" applyBorder="1" applyAlignment="1">
      <alignment horizontal="center" vertical="center" wrapText="1"/>
    </xf>
    <xf numFmtId="1" fontId="5" fillId="5" borderId="31" xfId="1" applyNumberFormat="1" applyFont="1" applyFill="1" applyBorder="1" applyAlignment="1">
      <alignment horizontal="center" vertical="center" wrapText="1"/>
    </xf>
    <xf numFmtId="0" fontId="10" fillId="0" borderId="23"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40" xfId="2" applyFont="1" applyBorder="1" applyAlignment="1">
      <alignment horizontal="center" vertical="center" wrapText="1"/>
    </xf>
    <xf numFmtId="0" fontId="10" fillId="0" borderId="41" xfId="2" applyFont="1" applyBorder="1" applyAlignment="1">
      <alignment horizontal="center" vertical="center" wrapText="1"/>
    </xf>
    <xf numFmtId="0" fontId="10" fillId="0" borderId="24" xfId="2" applyFont="1" applyBorder="1" applyAlignment="1">
      <alignment horizontal="center" vertical="center" wrapText="1"/>
    </xf>
    <xf numFmtId="1" fontId="5" fillId="5" borderId="25" xfId="1" applyNumberFormat="1" applyFont="1" applyFill="1" applyBorder="1" applyAlignment="1">
      <alignment horizontal="center" vertical="center" wrapText="1"/>
    </xf>
    <xf numFmtId="0" fontId="10" fillId="0" borderId="43" xfId="2" applyFont="1" applyBorder="1" applyAlignment="1">
      <alignment horizontal="center" vertical="center" wrapText="1"/>
    </xf>
    <xf numFmtId="0" fontId="10" fillId="0" borderId="37" xfId="2" applyFont="1" applyBorder="1" applyAlignment="1">
      <alignment horizontal="center" vertical="center" wrapText="1"/>
    </xf>
    <xf numFmtId="0" fontId="10" fillId="0" borderId="36"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42" xfId="2" applyFont="1" applyBorder="1" applyAlignment="1">
      <alignment horizontal="center" vertical="center" wrapText="1"/>
    </xf>
    <xf numFmtId="1" fontId="5" fillId="5" borderId="1" xfId="1" applyNumberFormat="1" applyFont="1" applyFill="1" applyBorder="1" applyAlignment="1">
      <alignment horizontal="center" vertical="center"/>
    </xf>
    <xf numFmtId="1" fontId="5" fillId="5" borderId="4" xfId="1" applyNumberFormat="1" applyFont="1" applyFill="1" applyBorder="1" applyAlignment="1">
      <alignment horizontal="center" vertical="center"/>
    </xf>
    <xf numFmtId="1" fontId="5" fillId="5" borderId="8" xfId="1" applyNumberFormat="1" applyFont="1" applyFill="1" applyBorder="1" applyAlignment="1">
      <alignment horizontal="center" vertical="center"/>
    </xf>
    <xf numFmtId="0" fontId="10" fillId="0" borderId="34"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42" xfId="0" applyFont="1" applyBorder="1" applyAlignment="1">
      <alignment horizontal="center" vertical="center" wrapText="1"/>
    </xf>
    <xf numFmtId="1" fontId="5" fillId="5" borderId="28" xfId="1" applyNumberFormat="1" applyFont="1" applyFill="1" applyBorder="1" applyAlignment="1">
      <alignment horizontal="center" vertical="center"/>
    </xf>
    <xf numFmtId="1" fontId="5" fillId="5" borderId="25" xfId="1" applyNumberFormat="1" applyFont="1" applyFill="1" applyBorder="1" applyAlignment="1">
      <alignment horizontal="center" vertical="center"/>
    </xf>
    <xf numFmtId="1" fontId="5" fillId="5" borderId="31" xfId="1" applyNumberFormat="1" applyFont="1" applyFill="1" applyBorder="1" applyAlignment="1">
      <alignment horizontal="center" vertical="center"/>
    </xf>
    <xf numFmtId="0" fontId="10" fillId="0" borderId="43" xfId="0" applyFont="1" applyBorder="1" applyAlignment="1">
      <alignment horizontal="center" vertical="center" wrapText="1"/>
    </xf>
    <xf numFmtId="0" fontId="10" fillId="0" borderId="36" xfId="0" applyFont="1" applyBorder="1" applyAlignment="1">
      <alignment horizontal="center" vertical="center" wrapText="1"/>
    </xf>
    <xf numFmtId="1" fontId="7" fillId="5" borderId="28" xfId="1" applyNumberFormat="1" applyFont="1" applyFill="1" applyBorder="1" applyAlignment="1">
      <alignment horizontal="center" vertical="center" wrapText="1"/>
    </xf>
    <xf numFmtId="1" fontId="7" fillId="5" borderId="25" xfId="1" applyNumberFormat="1" applyFont="1" applyFill="1" applyBorder="1" applyAlignment="1">
      <alignment horizontal="center" vertical="center" wrapText="1"/>
    </xf>
    <xf numFmtId="0" fontId="35" fillId="0" borderId="0" xfId="0" applyFont="1" applyAlignment="1">
      <alignment horizontal="left" vertical="center"/>
    </xf>
    <xf numFmtId="0" fontId="4" fillId="13" borderId="0" xfId="0" applyFont="1" applyFill="1" applyAlignment="1">
      <alignment horizontal="center" vertical="center"/>
    </xf>
    <xf numFmtId="0" fontId="31" fillId="10" borderId="0" xfId="0" applyFont="1" applyFill="1" applyAlignment="1">
      <alignment horizontal="center" vertical="center"/>
    </xf>
    <xf numFmtId="0" fontId="33" fillId="11" borderId="0" xfId="0" applyFont="1" applyFill="1" applyAlignment="1">
      <alignment horizontal="center" vertical="center" wrapText="1"/>
    </xf>
    <xf numFmtId="0" fontId="70" fillId="10" borderId="0" xfId="0" applyFont="1" applyFill="1" applyAlignment="1">
      <alignment horizontal="center" vertical="center" wrapText="1"/>
    </xf>
    <xf numFmtId="0" fontId="32" fillId="0" borderId="0" xfId="0" applyFont="1" applyAlignment="1">
      <alignment horizontal="center" vertical="center"/>
    </xf>
    <xf numFmtId="0" fontId="32" fillId="0" borderId="25" xfId="0" applyFont="1" applyBorder="1" applyAlignment="1">
      <alignment horizontal="center" vertical="center" wrapText="1"/>
    </xf>
    <xf numFmtId="0" fontId="32" fillId="0" borderId="28" xfId="0" applyFont="1" applyBorder="1" applyAlignment="1">
      <alignment horizontal="center" vertical="center" wrapText="1"/>
    </xf>
    <xf numFmtId="1" fontId="26" fillId="0" borderId="25" xfId="1" applyNumberFormat="1" applyFont="1" applyBorder="1" applyAlignment="1">
      <alignment horizontal="center" vertical="center" wrapText="1"/>
    </xf>
    <xf numFmtId="1" fontId="26" fillId="0" borderId="28" xfId="1" applyNumberFormat="1" applyFont="1" applyBorder="1" applyAlignment="1">
      <alignment horizontal="center" vertical="center" wrapText="1"/>
    </xf>
    <xf numFmtId="0" fontId="28" fillId="12" borderId="0" xfId="0" applyFont="1" applyFill="1" applyAlignment="1">
      <alignment horizontal="center" vertical="center" wrapText="1"/>
    </xf>
    <xf numFmtId="0" fontId="32" fillId="0" borderId="0" xfId="0" applyFont="1" applyAlignment="1">
      <alignment horizontal="center" vertical="center" wrapText="1"/>
    </xf>
    <xf numFmtId="1" fontId="26" fillId="0" borderId="4" xfId="1" applyNumberFormat="1" applyFont="1" applyBorder="1" applyAlignment="1">
      <alignment horizontal="center" vertical="center" wrapText="1"/>
    </xf>
    <xf numFmtId="1" fontId="26" fillId="0" borderId="8" xfId="1" applyNumberFormat="1" applyFont="1" applyBorder="1" applyAlignment="1">
      <alignment horizontal="center" vertical="center" wrapText="1"/>
    </xf>
    <xf numFmtId="0" fontId="32" fillId="0" borderId="31" xfId="0" applyFont="1" applyBorder="1" applyAlignment="1">
      <alignment horizontal="center" vertical="center" wrapText="1"/>
    </xf>
    <xf numFmtId="1" fontId="26" fillId="0" borderId="1" xfId="1" applyNumberFormat="1" applyFont="1" applyBorder="1" applyAlignment="1">
      <alignment horizontal="center" vertical="center" wrapText="1"/>
    </xf>
    <xf numFmtId="0" fontId="26" fillId="12" borderId="0" xfId="0" applyFont="1" applyFill="1" applyAlignment="1">
      <alignment horizontal="center" vertical="center" wrapText="1"/>
    </xf>
    <xf numFmtId="0" fontId="27" fillId="10" borderId="0" xfId="0" applyFont="1" applyFill="1" applyAlignment="1">
      <alignment horizontal="center" vertical="center" wrapText="1"/>
    </xf>
    <xf numFmtId="0" fontId="26" fillId="0" borderId="0" xfId="0" applyFont="1" applyAlignment="1"/>
    <xf numFmtId="1" fontId="0" fillId="0" borderId="28" xfId="1" applyNumberFormat="1" applyFont="1" applyBorder="1" applyAlignment="1">
      <alignment horizontal="center" vertical="center"/>
    </xf>
    <xf numFmtId="0" fontId="10" fillId="0" borderId="28" xfId="2" applyFont="1" applyBorder="1" applyAlignment="1">
      <alignment horizontal="center" vertical="center" wrapText="1"/>
    </xf>
    <xf numFmtId="0" fontId="5" fillId="0" borderId="26" xfId="2" applyFont="1" applyBorder="1" applyAlignment="1">
      <alignment horizontal="center" vertical="center" wrapText="1"/>
    </xf>
    <xf numFmtId="0" fontId="5" fillId="0" borderId="29" xfId="2" applyFont="1" applyBorder="1" applyAlignment="1">
      <alignment horizontal="center" vertical="center" wrapText="1"/>
    </xf>
    <xf numFmtId="0" fontId="5" fillId="0" borderId="32" xfId="2" applyFont="1" applyBorder="1" applyAlignment="1">
      <alignment horizontal="center" vertical="center" wrapText="1"/>
    </xf>
    <xf numFmtId="1" fontId="0" fillId="0" borderId="25" xfId="1" applyNumberFormat="1" applyFont="1" applyBorder="1" applyAlignment="1">
      <alignment horizontal="center" vertical="center"/>
    </xf>
    <xf numFmtId="0" fontId="10" fillId="0" borderId="25" xfId="2" applyFont="1" applyBorder="1" applyAlignment="1">
      <alignment horizontal="center" vertical="center" wrapText="1"/>
    </xf>
    <xf numFmtId="0" fontId="2" fillId="2" borderId="7"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14" fillId="0" borderId="28" xfId="2" applyFont="1" applyBorder="1" applyAlignment="1">
      <alignment horizontal="center" vertical="center" wrapText="1"/>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40" fillId="0" borderId="62" xfId="0" applyFont="1" applyBorder="1" applyAlignment="1">
      <alignment horizontal="left"/>
    </xf>
    <xf numFmtId="0" fontId="40" fillId="0" borderId="63" xfId="0" applyFont="1" applyBorder="1" applyAlignment="1">
      <alignment horizontal="left"/>
    </xf>
    <xf numFmtId="0" fontId="40" fillId="0" borderId="64" xfId="0" applyFont="1" applyBorder="1" applyAlignment="1">
      <alignment horizontal="left"/>
    </xf>
    <xf numFmtId="0" fontId="34" fillId="0" borderId="59" xfId="0" applyFont="1" applyBorder="1" applyAlignment="1">
      <alignment horizontal="center"/>
    </xf>
    <xf numFmtId="0" fontId="34" fillId="0" borderId="60" xfId="0" applyFont="1" applyBorder="1" applyAlignment="1">
      <alignment horizontal="center"/>
    </xf>
    <xf numFmtId="0" fontId="34" fillId="0" borderId="61" xfId="0" applyFont="1" applyBorder="1" applyAlignment="1">
      <alignment horizontal="center"/>
    </xf>
    <xf numFmtId="0" fontId="40" fillId="0" borderId="62" xfId="0" applyFont="1" applyBorder="1" applyAlignment="1">
      <alignment horizontal="left" vertical="center"/>
    </xf>
    <xf numFmtId="0" fontId="40" fillId="0" borderId="63" xfId="0" applyFont="1" applyBorder="1" applyAlignment="1">
      <alignment horizontal="left" vertical="center"/>
    </xf>
    <xf numFmtId="0" fontId="40" fillId="0" borderId="64" xfId="0" applyFont="1" applyBorder="1" applyAlignment="1">
      <alignment horizontal="left" vertical="center"/>
    </xf>
    <xf numFmtId="0" fontId="3" fillId="0" borderId="59" xfId="0" applyFont="1" applyBorder="1" applyAlignment="1">
      <alignment horizontal="center"/>
    </xf>
    <xf numFmtId="0" fontId="3" fillId="0" borderId="60" xfId="0" applyFont="1" applyBorder="1" applyAlignment="1">
      <alignment horizontal="center"/>
    </xf>
    <xf numFmtId="0" fontId="3" fillId="0" borderId="61" xfId="0" applyFont="1" applyBorder="1" applyAlignment="1">
      <alignment horizont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0" xfId="0" applyFont="1" applyAlignment="1">
      <alignment horizontal="center" vertical="center" textRotation="90" wrapText="1"/>
    </xf>
    <xf numFmtId="0" fontId="39" fillId="0" borderId="0" xfId="0" applyFont="1" applyAlignment="1">
      <alignment horizontal="center" wrapText="1"/>
    </xf>
    <xf numFmtId="0" fontId="39" fillId="0" borderId="0" xfId="0" applyFont="1" applyAlignment="1">
      <alignment horizont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14" fillId="0" borderId="59" xfId="0" applyFont="1" applyBorder="1" applyAlignment="1">
      <alignment horizontal="center"/>
    </xf>
    <xf numFmtId="0" fontId="14" fillId="0" borderId="60" xfId="0" applyFont="1" applyBorder="1" applyAlignment="1">
      <alignment horizontal="center"/>
    </xf>
    <xf numFmtId="0" fontId="14" fillId="0" borderId="61" xfId="0" applyFont="1" applyBorder="1" applyAlignment="1">
      <alignment horizontal="center"/>
    </xf>
    <xf numFmtId="0" fontId="45" fillId="0" borderId="62" xfId="0" applyFont="1" applyBorder="1" applyAlignment="1">
      <alignment horizontal="left" wrapText="1"/>
    </xf>
    <xf numFmtId="0" fontId="45" fillId="0" borderId="63" xfId="0" applyFont="1" applyBorder="1" applyAlignment="1">
      <alignment horizontal="left"/>
    </xf>
    <xf numFmtId="0" fontId="45" fillId="0" borderId="64" xfId="0" applyFont="1" applyBorder="1" applyAlignment="1">
      <alignment horizontal="left"/>
    </xf>
    <xf numFmtId="0" fontId="40" fillId="0" borderId="62" xfId="0" applyFont="1" applyBorder="1" applyAlignment="1">
      <alignment horizontal="left" wrapText="1"/>
    </xf>
    <xf numFmtId="0" fontId="49" fillId="0" borderId="62" xfId="0" applyFont="1" applyBorder="1" applyAlignment="1">
      <alignment horizontal="left" vertical="center" wrapText="1"/>
    </xf>
    <xf numFmtId="0" fontId="49" fillId="0" borderId="63" xfId="0" applyFont="1" applyBorder="1" applyAlignment="1">
      <alignment horizontal="left" vertical="center" wrapText="1"/>
    </xf>
    <xf numFmtId="0" fontId="49" fillId="0" borderId="64" xfId="0" applyFont="1" applyBorder="1" applyAlignment="1">
      <alignment horizontal="left" vertical="center" wrapText="1"/>
    </xf>
    <xf numFmtId="0" fontId="10" fillId="0" borderId="59" xfId="0" applyFont="1" applyBorder="1" applyAlignment="1">
      <alignment horizontal="center"/>
    </xf>
    <xf numFmtId="0" fontId="10" fillId="0" borderId="60" xfId="0" applyFont="1" applyBorder="1" applyAlignment="1">
      <alignment horizontal="center"/>
    </xf>
    <xf numFmtId="0" fontId="10" fillId="0" borderId="61" xfId="0" applyFont="1" applyBorder="1" applyAlignment="1">
      <alignment horizontal="center"/>
    </xf>
    <xf numFmtId="0" fontId="49" fillId="0" borderId="62" xfId="0" applyFont="1" applyBorder="1" applyAlignment="1">
      <alignment horizontal="left" vertical="top" wrapText="1"/>
    </xf>
    <xf numFmtId="0" fontId="49" fillId="0" borderId="63" xfId="0" applyFont="1" applyBorder="1" applyAlignment="1">
      <alignment horizontal="left" vertical="top"/>
    </xf>
    <xf numFmtId="0" fontId="49" fillId="0" borderId="64" xfId="0" applyFont="1" applyBorder="1" applyAlignment="1">
      <alignment horizontal="left" vertical="top"/>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45" fillId="0" borderId="65" xfId="0" applyFont="1" applyBorder="1" applyAlignment="1">
      <alignment horizontal="left" vertical="top" wrapText="1"/>
    </xf>
    <xf numFmtId="0" fontId="45" fillId="0" borderId="66" xfId="0" applyFont="1" applyBorder="1" applyAlignment="1">
      <alignment horizontal="left" vertical="top" wrapText="1"/>
    </xf>
    <xf numFmtId="0" fontId="45" fillId="0" borderId="67" xfId="0" applyFont="1" applyBorder="1" applyAlignment="1">
      <alignment horizontal="left" vertical="top" wrapText="1"/>
    </xf>
    <xf numFmtId="0" fontId="10" fillId="0" borderId="0" xfId="0" applyFont="1" applyAlignment="1">
      <alignment horizontal="center" vertical="center" textRotation="90"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59" fillId="0" borderId="17" xfId="0" applyFont="1" applyBorder="1" applyAlignment="1">
      <alignment horizontal="center" vertical="center" readingOrder="1"/>
    </xf>
    <xf numFmtId="0" fontId="59" fillId="0" borderId="18" xfId="0" applyFont="1" applyBorder="1" applyAlignment="1">
      <alignment horizontal="center" vertical="center" readingOrder="1"/>
    </xf>
    <xf numFmtId="0" fontId="59" fillId="0" borderId="19" xfId="0" applyFont="1" applyBorder="1" applyAlignment="1">
      <alignment horizontal="center" vertical="center" readingOrder="1"/>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40" fillId="0" borderId="62" xfId="0" applyFont="1" applyBorder="1" applyAlignment="1">
      <alignment horizontal="left" vertical="top" wrapText="1"/>
    </xf>
    <xf numFmtId="0" fontId="40" fillId="0" borderId="63" xfId="0" applyFont="1" applyBorder="1" applyAlignment="1">
      <alignment horizontal="left" vertical="top"/>
    </xf>
    <xf numFmtId="0" fontId="40" fillId="0" borderId="64" xfId="0" applyFont="1" applyBorder="1" applyAlignment="1">
      <alignment horizontal="left" vertical="top"/>
    </xf>
    <xf numFmtId="0" fontId="47" fillId="0" borderId="62" xfId="0" quotePrefix="1" applyFont="1" applyBorder="1" applyAlignment="1">
      <alignment horizontal="left" vertical="top" wrapText="1"/>
    </xf>
    <xf numFmtId="0" fontId="47" fillId="0" borderId="63" xfId="0" applyFont="1" applyBorder="1" applyAlignment="1">
      <alignment horizontal="left" vertical="top"/>
    </xf>
    <xf numFmtId="0" fontId="47" fillId="0" borderId="64" xfId="0" applyFont="1" applyBorder="1" applyAlignment="1">
      <alignment horizontal="left" vertical="top"/>
    </xf>
    <xf numFmtId="0" fontId="49" fillId="0" borderId="17" xfId="0" applyFont="1" applyBorder="1" applyAlignment="1">
      <alignment horizontal="left" vertical="center" wrapText="1"/>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6" fillId="0" borderId="65" xfId="0" applyFont="1" applyBorder="1" applyAlignment="1">
      <alignment horizontal="center" vertical="center" wrapText="1"/>
    </xf>
    <xf numFmtId="0" fontId="46" fillId="0" borderId="66" xfId="0" applyFont="1" applyBorder="1" applyAlignment="1">
      <alignment horizontal="center" vertical="center" wrapText="1"/>
    </xf>
    <xf numFmtId="0" fontId="46" fillId="0" borderId="67"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47" fillId="0" borderId="62" xfId="0" applyFont="1" applyBorder="1" applyAlignment="1">
      <alignment horizontal="left" vertical="top" wrapText="1"/>
    </xf>
    <xf numFmtId="0" fontId="47" fillId="0" borderId="78" xfId="0" applyFont="1" applyBorder="1" applyAlignment="1">
      <alignment horizontal="left" vertical="center" wrapText="1"/>
    </xf>
    <xf numFmtId="0" fontId="65" fillId="0" borderId="0" xfId="0" applyFont="1" applyBorder="1" applyAlignment="1">
      <alignment horizontal="left" vertical="center"/>
    </xf>
    <xf numFmtId="0" fontId="65" fillId="0" borderId="79" xfId="0" applyFont="1" applyBorder="1" applyAlignment="1">
      <alignment horizontal="left" vertical="center"/>
    </xf>
    <xf numFmtId="0" fontId="65" fillId="0" borderId="78" xfId="0" applyFont="1" applyBorder="1" applyAlignment="1">
      <alignment horizontal="left" vertical="center" wrapText="1"/>
    </xf>
    <xf numFmtId="0" fontId="65" fillId="0" borderId="0" xfId="0" applyFont="1" applyBorder="1" applyAlignment="1">
      <alignment horizontal="left" vertical="center" wrapText="1"/>
    </xf>
    <xf numFmtId="0" fontId="47" fillId="0" borderId="63" xfId="0" applyFont="1" applyBorder="1" applyAlignment="1">
      <alignment horizontal="left" vertical="top" wrapText="1"/>
    </xf>
    <xf numFmtId="0" fontId="47" fillId="0" borderId="64" xfId="0" applyFont="1" applyBorder="1" applyAlignment="1">
      <alignment horizontal="left" vertical="top" wrapText="1"/>
    </xf>
    <xf numFmtId="0" fontId="78" fillId="15" borderId="11" xfId="0" applyFont="1" applyFill="1" applyBorder="1" applyAlignment="1">
      <alignment horizontal="center" vertical="center" wrapText="1"/>
    </xf>
    <xf numFmtId="0" fontId="78" fillId="15" borderId="12" xfId="0" applyFont="1" applyFill="1" applyBorder="1" applyAlignment="1">
      <alignment horizontal="center" vertical="center" wrapText="1"/>
    </xf>
    <xf numFmtId="0" fontId="78" fillId="15" borderId="13" xfId="0" applyFont="1" applyFill="1" applyBorder="1" applyAlignment="1">
      <alignment horizontal="center" vertical="center" wrapText="1"/>
    </xf>
    <xf numFmtId="0" fontId="78" fillId="15" borderId="11" xfId="0" applyFont="1" applyFill="1" applyBorder="1" applyAlignment="1">
      <alignment horizontal="center" vertical="center"/>
    </xf>
    <xf numFmtId="0" fontId="78" fillId="15" borderId="12" xfId="0" applyFont="1" applyFill="1" applyBorder="1" applyAlignment="1">
      <alignment horizontal="center" vertical="center"/>
    </xf>
    <xf numFmtId="0" fontId="78" fillId="15" borderId="13" xfId="0" applyFont="1" applyFill="1" applyBorder="1" applyAlignment="1">
      <alignment horizontal="center" vertical="center"/>
    </xf>
    <xf numFmtId="0" fontId="2" fillId="6" borderId="0" xfId="0" applyFont="1" applyFill="1" applyBorder="1" applyAlignment="1">
      <alignment horizontal="center"/>
    </xf>
    <xf numFmtId="9" fontId="0" fillId="0" borderId="92" xfId="1" applyFont="1" applyBorder="1" applyAlignment="1">
      <alignment horizontal="center" vertical="center"/>
    </xf>
    <xf numFmtId="9" fontId="0" fillId="0" borderId="93" xfId="1" applyFont="1" applyBorder="1" applyAlignment="1">
      <alignment horizontal="center" vertical="center"/>
    </xf>
    <xf numFmtId="9" fontId="0" fillId="0" borderId="95" xfId="1" applyFont="1" applyBorder="1" applyAlignment="1">
      <alignment horizontal="center" vertical="center"/>
    </xf>
    <xf numFmtId="0" fontId="3" fillId="22" borderId="0" xfId="0" applyFont="1" applyFill="1" applyAlignment="1">
      <alignment horizont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2" fillId="7" borderId="0" xfId="0" applyFont="1" applyFill="1" applyBorder="1" applyAlignment="1">
      <alignment horizontal="center"/>
    </xf>
  </cellXfs>
  <cellStyles count="7">
    <cellStyle name="Lien hypertexte" xfId="3" builtinId="8"/>
    <cellStyle name="Lien hypertexte 2" xfId="6"/>
    <cellStyle name="Normal" xfId="0" builtinId="0"/>
    <cellStyle name="Normal 2" xfId="2"/>
    <cellStyle name="Normal 3" xfId="4"/>
    <cellStyle name="Normal 4" xfId="5"/>
    <cellStyle name="Pourcentage" xfId="1" builtinId="5"/>
  </cellStyles>
  <dxfs count="30">
    <dxf>
      <fill>
        <patternFill>
          <bgColor theme="9" tint="0.59996337778862885"/>
        </patternFill>
      </fill>
    </dxf>
    <dxf>
      <fill>
        <patternFill patternType="lightUp">
          <fgColor theme="0"/>
          <bgColor theme="0" tint="-0.499984740745262"/>
        </patternFill>
      </fill>
    </dxf>
    <dxf>
      <fill>
        <patternFill>
          <bgColor theme="9" tint="0.59996337778862885"/>
        </patternFill>
      </fill>
    </dxf>
    <dxf>
      <fill>
        <patternFill>
          <bgColor rgb="FFF48C96"/>
        </patternFill>
      </fill>
    </dxf>
    <dxf>
      <fill>
        <patternFill patternType="lightUp">
          <fgColor theme="0"/>
          <bgColor theme="0" tint="-0.499984740745262"/>
        </patternFill>
      </fill>
    </dxf>
    <dxf>
      <fill>
        <patternFill>
          <bgColor theme="9" tint="0.79998168889431442"/>
        </patternFill>
      </fill>
    </dxf>
    <dxf>
      <fill>
        <patternFill>
          <bgColor theme="5" tint="0.79998168889431442"/>
        </patternFill>
      </fill>
    </dxf>
    <dxf>
      <fill>
        <patternFill patternType="lightUp">
          <fgColor theme="0" tint="-0.499984740745262"/>
        </patternFill>
      </fill>
    </dxf>
    <dxf>
      <fill>
        <patternFill>
          <bgColor theme="9" tint="0.79998168889431442"/>
        </patternFill>
      </fill>
    </dxf>
    <dxf>
      <fill>
        <patternFill patternType="lightUp">
          <fgColor theme="0" tint="-0.499984740745262"/>
        </patternFill>
      </fill>
    </dxf>
    <dxf>
      <fill>
        <patternFill>
          <bgColor theme="9" tint="0.79998168889431442"/>
        </patternFill>
      </fill>
    </dxf>
    <dxf>
      <fill>
        <patternFill patternType="lightUp">
          <fgColor theme="0" tint="-0.499984740745262"/>
        </patternFill>
      </fill>
    </dxf>
    <dxf>
      <fill>
        <patternFill patternType="lightUp">
          <fgColor theme="0" tint="-0.499984740745262"/>
        </patternFill>
      </fill>
    </dxf>
    <dxf>
      <fill>
        <patternFill patternType="lightUp">
          <fgColor theme="0" tint="-0.499984740745262"/>
        </patternFill>
      </fill>
    </dxf>
    <dxf>
      <fill>
        <patternFill patternType="lightUp">
          <fgColor theme="0" tint="-0.499984740745262"/>
        </patternFill>
      </fill>
    </dxf>
    <dxf>
      <fill>
        <patternFill patternType="lightUp">
          <fgColor theme="0" tint="-0.499984740745262"/>
        </patternFill>
      </fill>
    </dxf>
    <dxf>
      <fill>
        <patternFill>
          <bgColor theme="9" tint="0.79998168889431442"/>
        </patternFill>
      </fill>
    </dxf>
    <dxf>
      <fill>
        <patternFill patternType="lightUp">
          <fgColor theme="0" tint="-0.499984740745262"/>
        </patternFill>
      </fill>
    </dxf>
    <dxf>
      <fill>
        <patternFill patternType="lightUp">
          <fgColor theme="0" tint="-0.499984740745262"/>
        </patternFill>
      </fill>
    </dxf>
    <dxf>
      <font>
        <color theme="0"/>
      </font>
    </dxf>
    <dxf>
      <font>
        <color theme="0"/>
      </font>
    </dxf>
    <dxf>
      <font>
        <color theme="0"/>
      </font>
    </dxf>
    <dxf>
      <font>
        <color theme="0"/>
      </font>
    </dxf>
    <dxf>
      <font>
        <color theme="0"/>
      </font>
    </dxf>
    <dxf>
      <fill>
        <patternFill>
          <bgColor theme="9" tint="0.79998168889431442"/>
        </patternFill>
      </fill>
    </dxf>
    <dxf>
      <fill>
        <patternFill patternType="darkUp">
          <fgColor theme="1" tint="0.499984740745262"/>
        </patternFill>
      </fill>
    </dxf>
    <dxf>
      <fill>
        <patternFill patternType="darkUp">
          <fgColor theme="1" tint="0.499984740745262"/>
        </patternFill>
      </fill>
    </dxf>
    <dxf>
      <fill>
        <patternFill patternType="darkUp">
          <fgColor theme="1" tint="0.499984740745262"/>
        </patternFill>
      </fill>
    </dxf>
    <dxf>
      <fill>
        <patternFill patternType="lightUp">
          <fgColor theme="0" tint="-0.499984740745262"/>
        </patternFill>
      </fill>
    </dxf>
    <dxf>
      <font>
        <color auto="1"/>
      </font>
      <fill>
        <patternFill>
          <fgColor theme="9" tint="0.79998168889431442"/>
          <bgColor theme="9" tint="0.79998168889431442"/>
        </patternFill>
      </fill>
    </dxf>
  </dxfs>
  <tableStyles count="0" defaultTableStyle="TableStyleMedium2" defaultPivotStyle="PivotStyleLight16"/>
  <colors>
    <mruColors>
      <color rgb="FFF48C96"/>
      <color rgb="FFF49E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Performance</a:t>
            </a:r>
            <a:r>
              <a:rPr lang="fr-FR" baseline="0"/>
              <a:t> EC par axe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0140537070834275"/>
          <c:y val="0.19250991435502801"/>
          <c:w val="0.62995286418739005"/>
          <c:h val="0.52833013405052021"/>
        </c:manualLayout>
      </c:layout>
      <c:radarChart>
        <c:radarStyle val="marker"/>
        <c:varyColors val="0"/>
        <c:ser>
          <c:idx val="1"/>
          <c:order val="0"/>
          <c:tx>
            <c:strRef>
              <c:f>'Note finale'!$D$43</c:f>
              <c:strCache>
                <c:ptCount val="1"/>
                <c:pt idx="0">
                  <c:v>Année N</c:v>
                </c:pt>
              </c:strCache>
            </c:strRef>
          </c:tx>
          <c:spPr>
            <a:ln w="28575" cap="rnd">
              <a:solidFill>
                <a:schemeClr val="accent2"/>
              </a:solidFill>
              <a:round/>
            </a:ln>
            <a:effectLst/>
          </c:spPr>
          <c:marker>
            <c:symbol val="none"/>
          </c:marker>
          <c:cat>
            <c:numRef>
              <c:f>'Note finale'!$C$44:$C$48</c:f>
              <c:numCache>
                <c:formatCode>General</c:formatCode>
                <c:ptCount val="5"/>
                <c:pt idx="0">
                  <c:v>1</c:v>
                </c:pt>
                <c:pt idx="1">
                  <c:v>2</c:v>
                </c:pt>
                <c:pt idx="2">
                  <c:v>3</c:v>
                </c:pt>
                <c:pt idx="3">
                  <c:v>4</c:v>
                </c:pt>
                <c:pt idx="4">
                  <c:v>5</c:v>
                </c:pt>
              </c:numCache>
            </c:numRef>
          </c:cat>
          <c:val>
            <c:numRef>
              <c:f>'Note finale'!$D$44:$D$48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A4B-4EA8-8669-665F166F3384}"/>
            </c:ext>
          </c:extLst>
        </c:ser>
        <c:ser>
          <c:idx val="2"/>
          <c:order val="1"/>
          <c:tx>
            <c:strRef>
              <c:f>'Note finale'!$E$43</c:f>
              <c:strCache>
                <c:ptCount val="1"/>
                <c:pt idx="0">
                  <c:v>Année N+1</c:v>
                </c:pt>
              </c:strCache>
            </c:strRef>
          </c:tx>
          <c:spPr>
            <a:ln w="28575" cap="rnd">
              <a:solidFill>
                <a:schemeClr val="accent3"/>
              </a:solidFill>
              <a:round/>
            </a:ln>
            <a:effectLst/>
          </c:spPr>
          <c:marker>
            <c:symbol val="none"/>
          </c:marker>
          <c:cat>
            <c:numRef>
              <c:f>'Note finale'!$C$44:$C$48</c:f>
              <c:numCache>
                <c:formatCode>General</c:formatCode>
                <c:ptCount val="5"/>
                <c:pt idx="0">
                  <c:v>1</c:v>
                </c:pt>
                <c:pt idx="1">
                  <c:v>2</c:v>
                </c:pt>
                <c:pt idx="2">
                  <c:v>3</c:v>
                </c:pt>
                <c:pt idx="3">
                  <c:v>4</c:v>
                </c:pt>
                <c:pt idx="4">
                  <c:v>5</c:v>
                </c:pt>
              </c:numCache>
            </c:numRef>
          </c:cat>
          <c:val>
            <c:numRef>
              <c:f>'Note finale'!$E$44:$E$48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FA4B-4EA8-8669-665F166F3384}"/>
            </c:ext>
          </c:extLst>
        </c:ser>
        <c:ser>
          <c:idx val="3"/>
          <c:order val="2"/>
          <c:tx>
            <c:strRef>
              <c:f>'Note finale'!$F$43</c:f>
              <c:strCache>
                <c:ptCount val="1"/>
                <c:pt idx="0">
                  <c:v>Année N+2</c:v>
                </c:pt>
              </c:strCache>
            </c:strRef>
          </c:tx>
          <c:spPr>
            <a:ln w="28575" cap="rnd">
              <a:solidFill>
                <a:schemeClr val="accent4"/>
              </a:solidFill>
              <a:round/>
            </a:ln>
            <a:effectLst/>
          </c:spPr>
          <c:marker>
            <c:symbol val="none"/>
          </c:marker>
          <c:cat>
            <c:numRef>
              <c:f>'Note finale'!$C$44:$C$48</c:f>
              <c:numCache>
                <c:formatCode>General</c:formatCode>
                <c:ptCount val="5"/>
                <c:pt idx="0">
                  <c:v>1</c:v>
                </c:pt>
                <c:pt idx="1">
                  <c:v>2</c:v>
                </c:pt>
                <c:pt idx="2">
                  <c:v>3</c:v>
                </c:pt>
                <c:pt idx="3">
                  <c:v>4</c:v>
                </c:pt>
                <c:pt idx="4">
                  <c:v>5</c:v>
                </c:pt>
              </c:numCache>
            </c:numRef>
          </c:cat>
          <c:val>
            <c:numRef>
              <c:f>'Note finale'!$F$44:$F$48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FA4B-4EA8-8669-665F166F3384}"/>
            </c:ext>
          </c:extLst>
        </c:ser>
        <c:dLbls>
          <c:showLegendKey val="0"/>
          <c:showVal val="0"/>
          <c:showCatName val="0"/>
          <c:showSerName val="0"/>
          <c:showPercent val="0"/>
          <c:showBubbleSize val="0"/>
        </c:dLbls>
        <c:axId val="405219744"/>
        <c:axId val="405220920"/>
      </c:radarChart>
      <c:catAx>
        <c:axId val="40521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5220920"/>
        <c:crosses val="autoZero"/>
        <c:auto val="1"/>
        <c:lblAlgn val="ctr"/>
        <c:lblOffset val="100"/>
        <c:noMultiLvlLbl val="0"/>
      </c:catAx>
      <c:valAx>
        <c:axId val="4052209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5219744"/>
        <c:crosses val="autoZero"/>
        <c:crossBetween val="between"/>
      </c:valAx>
      <c:spPr>
        <a:noFill/>
        <a:ln>
          <a:noFill/>
        </a:ln>
        <a:effectLst/>
      </c:spPr>
    </c:plotArea>
    <c:legend>
      <c:legendPos val="r"/>
      <c:layout>
        <c:manualLayout>
          <c:xMode val="edge"/>
          <c:yMode val="edge"/>
          <c:x val="0.38336103094970636"/>
          <c:y val="0.76864862522084176"/>
          <c:w val="0.24357791552544328"/>
          <c:h val="0.188004686797751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70B8E82-D9C0-4D55-9685-64BFEDF8C72F}" type="doc">
      <dgm:prSet loTypeId="urn:microsoft.com/office/officeart/2005/8/layout/chevron1" loCatId="process" qsTypeId="urn:microsoft.com/office/officeart/2005/8/quickstyle/simple1" qsCatId="simple" csTypeId="urn:microsoft.com/office/officeart/2005/8/colors/colorful4" csCatId="colorful" phldr="1"/>
      <dgm:spPr/>
    </dgm:pt>
    <dgm:pt modelId="{842EAEBA-52EE-417F-9F3A-6A261788B30B}">
      <dgm:prSet phldrT="[Texte]"/>
      <dgm:spPr/>
      <dgm:t>
        <a:bodyPr/>
        <a:lstStyle/>
        <a:p>
          <a:r>
            <a:rPr lang="fr-FR"/>
            <a:t>Production</a:t>
          </a:r>
        </a:p>
      </dgm:t>
    </dgm:pt>
    <dgm:pt modelId="{DF1054C1-6266-4EE7-BAE3-5DD2522B223C}" type="parTrans" cxnId="{99D70F34-7EE7-4883-AA65-206ADD4577D9}">
      <dgm:prSet/>
      <dgm:spPr/>
      <dgm:t>
        <a:bodyPr/>
        <a:lstStyle/>
        <a:p>
          <a:endParaRPr lang="fr-FR"/>
        </a:p>
      </dgm:t>
    </dgm:pt>
    <dgm:pt modelId="{E036281C-B0D7-42CC-80C9-F6A010295934}" type="sibTrans" cxnId="{99D70F34-7EE7-4883-AA65-206ADD4577D9}">
      <dgm:prSet/>
      <dgm:spPr/>
      <dgm:t>
        <a:bodyPr/>
        <a:lstStyle/>
        <a:p>
          <a:endParaRPr lang="fr-FR"/>
        </a:p>
      </dgm:t>
    </dgm:pt>
    <dgm:pt modelId="{46341699-0FE9-4311-A480-CFD15F0BA44A}">
      <dgm:prSet phldrT="[Texte]"/>
      <dgm:spPr/>
      <dgm:t>
        <a:bodyPr/>
        <a:lstStyle/>
        <a:p>
          <a:r>
            <a:rPr lang="fr-FR"/>
            <a:t>Transformation</a:t>
          </a:r>
        </a:p>
      </dgm:t>
    </dgm:pt>
    <dgm:pt modelId="{3FF1E6A5-21F9-4A25-8590-5AD029EBC7A3}" type="parTrans" cxnId="{1286E33E-7DD0-4ABF-9B74-734E1FE32734}">
      <dgm:prSet/>
      <dgm:spPr/>
      <dgm:t>
        <a:bodyPr/>
        <a:lstStyle/>
        <a:p>
          <a:endParaRPr lang="fr-FR"/>
        </a:p>
      </dgm:t>
    </dgm:pt>
    <dgm:pt modelId="{5CCCD494-BBD9-43B9-B946-CEF1AB050EAC}" type="sibTrans" cxnId="{1286E33E-7DD0-4ABF-9B74-734E1FE32734}">
      <dgm:prSet/>
      <dgm:spPr/>
      <dgm:t>
        <a:bodyPr/>
        <a:lstStyle/>
        <a:p>
          <a:endParaRPr lang="fr-FR"/>
        </a:p>
      </dgm:t>
    </dgm:pt>
    <dgm:pt modelId="{173C33A6-D80C-4EC3-8C49-A0FCE49E7BA5}">
      <dgm:prSet phldrT="[Texte]"/>
      <dgm:spPr/>
      <dgm:t>
        <a:bodyPr/>
        <a:lstStyle/>
        <a:p>
          <a:r>
            <a:rPr lang="fr-FR"/>
            <a:t>Distribution</a:t>
          </a:r>
        </a:p>
      </dgm:t>
    </dgm:pt>
    <dgm:pt modelId="{FC30A9C9-123B-44F3-A4F4-2513435297D7}" type="parTrans" cxnId="{5B02BCDE-26E0-436D-8E36-A424BA713344}">
      <dgm:prSet/>
      <dgm:spPr/>
      <dgm:t>
        <a:bodyPr/>
        <a:lstStyle/>
        <a:p>
          <a:endParaRPr lang="fr-FR"/>
        </a:p>
      </dgm:t>
    </dgm:pt>
    <dgm:pt modelId="{DB766474-4F58-48F1-901B-3D0B6D5645F5}" type="sibTrans" cxnId="{5B02BCDE-26E0-436D-8E36-A424BA713344}">
      <dgm:prSet/>
      <dgm:spPr/>
      <dgm:t>
        <a:bodyPr/>
        <a:lstStyle/>
        <a:p>
          <a:endParaRPr lang="fr-FR"/>
        </a:p>
      </dgm:t>
    </dgm:pt>
    <dgm:pt modelId="{0CA82140-6583-4958-AE77-31EA3F4C0671}">
      <dgm:prSet phldrT="[Texte]"/>
      <dgm:spPr/>
      <dgm:t>
        <a:bodyPr/>
        <a:lstStyle/>
        <a:p>
          <a:r>
            <a:rPr lang="fr-FR"/>
            <a:t>Consommation</a:t>
          </a:r>
        </a:p>
      </dgm:t>
    </dgm:pt>
    <dgm:pt modelId="{FDA20DD6-CD16-49C9-9805-434B2E5AD58C}" type="parTrans" cxnId="{4D966582-3320-4B6C-80ED-CC933F7609AF}">
      <dgm:prSet/>
      <dgm:spPr/>
      <dgm:t>
        <a:bodyPr/>
        <a:lstStyle/>
        <a:p>
          <a:endParaRPr lang="fr-FR"/>
        </a:p>
      </dgm:t>
    </dgm:pt>
    <dgm:pt modelId="{D7E1A1E0-EDDA-43C3-8C7F-A3B5F6E91978}" type="sibTrans" cxnId="{4D966582-3320-4B6C-80ED-CC933F7609AF}">
      <dgm:prSet/>
      <dgm:spPr/>
      <dgm:t>
        <a:bodyPr/>
        <a:lstStyle/>
        <a:p>
          <a:endParaRPr lang="fr-FR"/>
        </a:p>
      </dgm:t>
    </dgm:pt>
    <dgm:pt modelId="{4BA52A94-D0DB-414B-AC53-D2F24F3E6696}">
      <dgm:prSet phldrT="[Texte]"/>
      <dgm:spPr/>
      <dgm:t>
        <a:bodyPr/>
        <a:lstStyle/>
        <a:p>
          <a:r>
            <a:rPr lang="fr-FR"/>
            <a:t>Gestion fin de vie</a:t>
          </a:r>
        </a:p>
      </dgm:t>
    </dgm:pt>
    <dgm:pt modelId="{F9342FF0-D1C4-4A45-AA8C-B2EA3BA423B1}" type="parTrans" cxnId="{7E299BC2-4D40-43A2-89B6-E50010E7E69F}">
      <dgm:prSet/>
      <dgm:spPr/>
      <dgm:t>
        <a:bodyPr/>
        <a:lstStyle/>
        <a:p>
          <a:endParaRPr lang="fr-FR"/>
        </a:p>
      </dgm:t>
    </dgm:pt>
    <dgm:pt modelId="{E182C14E-CC21-4714-9EAE-A0EBAA0FAAAE}" type="sibTrans" cxnId="{7E299BC2-4D40-43A2-89B6-E50010E7E69F}">
      <dgm:prSet/>
      <dgm:spPr/>
      <dgm:t>
        <a:bodyPr/>
        <a:lstStyle/>
        <a:p>
          <a:endParaRPr lang="fr-FR"/>
        </a:p>
      </dgm:t>
    </dgm:pt>
    <dgm:pt modelId="{EF307310-9B4B-4F5A-AEAC-A80EA646AA90}" type="pres">
      <dgm:prSet presAssocID="{470B8E82-D9C0-4D55-9685-64BFEDF8C72F}" presName="Name0" presStyleCnt="0">
        <dgm:presLayoutVars>
          <dgm:dir/>
          <dgm:animLvl val="lvl"/>
          <dgm:resizeHandles val="exact"/>
        </dgm:presLayoutVars>
      </dgm:prSet>
      <dgm:spPr/>
    </dgm:pt>
    <dgm:pt modelId="{497DCB1A-A01E-4C56-87F0-95CFFC3E13EC}" type="pres">
      <dgm:prSet presAssocID="{842EAEBA-52EE-417F-9F3A-6A261788B30B}" presName="parTxOnly" presStyleLbl="node1" presStyleIdx="0" presStyleCnt="5">
        <dgm:presLayoutVars>
          <dgm:chMax val="0"/>
          <dgm:chPref val="0"/>
          <dgm:bulletEnabled val="1"/>
        </dgm:presLayoutVars>
      </dgm:prSet>
      <dgm:spPr/>
      <dgm:t>
        <a:bodyPr/>
        <a:lstStyle/>
        <a:p>
          <a:endParaRPr lang="fr-FR"/>
        </a:p>
      </dgm:t>
    </dgm:pt>
    <dgm:pt modelId="{4FA528EE-DFB8-4AE2-A138-EBFB0EDAE299}" type="pres">
      <dgm:prSet presAssocID="{E036281C-B0D7-42CC-80C9-F6A010295934}" presName="parTxOnlySpace" presStyleCnt="0"/>
      <dgm:spPr/>
    </dgm:pt>
    <dgm:pt modelId="{3F78688B-5373-452C-A24B-0FDCE4119BC0}" type="pres">
      <dgm:prSet presAssocID="{46341699-0FE9-4311-A480-CFD15F0BA44A}" presName="parTxOnly" presStyleLbl="node1" presStyleIdx="1" presStyleCnt="5">
        <dgm:presLayoutVars>
          <dgm:chMax val="0"/>
          <dgm:chPref val="0"/>
          <dgm:bulletEnabled val="1"/>
        </dgm:presLayoutVars>
      </dgm:prSet>
      <dgm:spPr/>
      <dgm:t>
        <a:bodyPr/>
        <a:lstStyle/>
        <a:p>
          <a:endParaRPr lang="fr-FR"/>
        </a:p>
      </dgm:t>
    </dgm:pt>
    <dgm:pt modelId="{47EE5D4E-59FE-417E-A38C-2D9906A55BC0}" type="pres">
      <dgm:prSet presAssocID="{5CCCD494-BBD9-43B9-B946-CEF1AB050EAC}" presName="parTxOnlySpace" presStyleCnt="0"/>
      <dgm:spPr/>
    </dgm:pt>
    <dgm:pt modelId="{EE83932C-22E7-40BD-9327-151A21D52E16}" type="pres">
      <dgm:prSet presAssocID="{173C33A6-D80C-4EC3-8C49-A0FCE49E7BA5}" presName="parTxOnly" presStyleLbl="node1" presStyleIdx="2" presStyleCnt="5">
        <dgm:presLayoutVars>
          <dgm:chMax val="0"/>
          <dgm:chPref val="0"/>
          <dgm:bulletEnabled val="1"/>
        </dgm:presLayoutVars>
      </dgm:prSet>
      <dgm:spPr/>
      <dgm:t>
        <a:bodyPr/>
        <a:lstStyle/>
        <a:p>
          <a:endParaRPr lang="fr-FR"/>
        </a:p>
      </dgm:t>
    </dgm:pt>
    <dgm:pt modelId="{89CB3419-3E38-4377-95EB-578007F8BBD4}" type="pres">
      <dgm:prSet presAssocID="{DB766474-4F58-48F1-901B-3D0B6D5645F5}" presName="parTxOnlySpace" presStyleCnt="0"/>
      <dgm:spPr/>
    </dgm:pt>
    <dgm:pt modelId="{8D037B30-31E1-48C2-BF54-387CFA794C21}" type="pres">
      <dgm:prSet presAssocID="{0CA82140-6583-4958-AE77-31EA3F4C0671}" presName="parTxOnly" presStyleLbl="node1" presStyleIdx="3" presStyleCnt="5">
        <dgm:presLayoutVars>
          <dgm:chMax val="0"/>
          <dgm:chPref val="0"/>
          <dgm:bulletEnabled val="1"/>
        </dgm:presLayoutVars>
      </dgm:prSet>
      <dgm:spPr/>
      <dgm:t>
        <a:bodyPr/>
        <a:lstStyle/>
        <a:p>
          <a:endParaRPr lang="fr-FR"/>
        </a:p>
      </dgm:t>
    </dgm:pt>
    <dgm:pt modelId="{010D1FE6-82E2-4960-9F06-8AD9E9070F3E}" type="pres">
      <dgm:prSet presAssocID="{D7E1A1E0-EDDA-43C3-8C7F-A3B5F6E91978}" presName="parTxOnlySpace" presStyleCnt="0"/>
      <dgm:spPr/>
    </dgm:pt>
    <dgm:pt modelId="{D44D6B43-48AC-4007-983D-66AC114103B1}" type="pres">
      <dgm:prSet presAssocID="{4BA52A94-D0DB-414B-AC53-D2F24F3E6696}" presName="parTxOnly" presStyleLbl="node1" presStyleIdx="4" presStyleCnt="5">
        <dgm:presLayoutVars>
          <dgm:chMax val="0"/>
          <dgm:chPref val="0"/>
          <dgm:bulletEnabled val="1"/>
        </dgm:presLayoutVars>
      </dgm:prSet>
      <dgm:spPr/>
      <dgm:t>
        <a:bodyPr/>
        <a:lstStyle/>
        <a:p>
          <a:endParaRPr lang="fr-FR"/>
        </a:p>
      </dgm:t>
    </dgm:pt>
  </dgm:ptLst>
  <dgm:cxnLst>
    <dgm:cxn modelId="{1286E33E-7DD0-4ABF-9B74-734E1FE32734}" srcId="{470B8E82-D9C0-4D55-9685-64BFEDF8C72F}" destId="{46341699-0FE9-4311-A480-CFD15F0BA44A}" srcOrd="1" destOrd="0" parTransId="{3FF1E6A5-21F9-4A25-8590-5AD029EBC7A3}" sibTransId="{5CCCD494-BBD9-43B9-B946-CEF1AB050EAC}"/>
    <dgm:cxn modelId="{99D70F34-7EE7-4883-AA65-206ADD4577D9}" srcId="{470B8E82-D9C0-4D55-9685-64BFEDF8C72F}" destId="{842EAEBA-52EE-417F-9F3A-6A261788B30B}" srcOrd="0" destOrd="0" parTransId="{DF1054C1-6266-4EE7-BAE3-5DD2522B223C}" sibTransId="{E036281C-B0D7-42CC-80C9-F6A010295934}"/>
    <dgm:cxn modelId="{BE7C7F7E-1164-4550-B9C8-6926FC96695F}" type="presOf" srcId="{173C33A6-D80C-4EC3-8C49-A0FCE49E7BA5}" destId="{EE83932C-22E7-40BD-9327-151A21D52E16}" srcOrd="0" destOrd="0" presId="urn:microsoft.com/office/officeart/2005/8/layout/chevron1"/>
    <dgm:cxn modelId="{4DFAB679-40E2-4B8E-9CD3-1077D0DD7515}" type="presOf" srcId="{470B8E82-D9C0-4D55-9685-64BFEDF8C72F}" destId="{EF307310-9B4B-4F5A-AEAC-A80EA646AA90}" srcOrd="0" destOrd="0" presId="urn:microsoft.com/office/officeart/2005/8/layout/chevron1"/>
    <dgm:cxn modelId="{28CDDCE1-77D1-4858-B1C3-A5C261C3C19E}" type="presOf" srcId="{46341699-0FE9-4311-A480-CFD15F0BA44A}" destId="{3F78688B-5373-452C-A24B-0FDCE4119BC0}" srcOrd="0" destOrd="0" presId="urn:microsoft.com/office/officeart/2005/8/layout/chevron1"/>
    <dgm:cxn modelId="{7E299BC2-4D40-43A2-89B6-E50010E7E69F}" srcId="{470B8E82-D9C0-4D55-9685-64BFEDF8C72F}" destId="{4BA52A94-D0DB-414B-AC53-D2F24F3E6696}" srcOrd="4" destOrd="0" parTransId="{F9342FF0-D1C4-4A45-AA8C-B2EA3BA423B1}" sibTransId="{E182C14E-CC21-4714-9EAE-A0EBAA0FAAAE}"/>
    <dgm:cxn modelId="{5B02BCDE-26E0-436D-8E36-A424BA713344}" srcId="{470B8E82-D9C0-4D55-9685-64BFEDF8C72F}" destId="{173C33A6-D80C-4EC3-8C49-A0FCE49E7BA5}" srcOrd="2" destOrd="0" parTransId="{FC30A9C9-123B-44F3-A4F4-2513435297D7}" sibTransId="{DB766474-4F58-48F1-901B-3D0B6D5645F5}"/>
    <dgm:cxn modelId="{0BFEB296-218F-4E44-BF68-6208C7A35489}" type="presOf" srcId="{4BA52A94-D0DB-414B-AC53-D2F24F3E6696}" destId="{D44D6B43-48AC-4007-983D-66AC114103B1}" srcOrd="0" destOrd="0" presId="urn:microsoft.com/office/officeart/2005/8/layout/chevron1"/>
    <dgm:cxn modelId="{CBF3BDD0-3DD2-4FA6-88A7-CF2C69CDE50E}" type="presOf" srcId="{842EAEBA-52EE-417F-9F3A-6A261788B30B}" destId="{497DCB1A-A01E-4C56-87F0-95CFFC3E13EC}" srcOrd="0" destOrd="0" presId="urn:microsoft.com/office/officeart/2005/8/layout/chevron1"/>
    <dgm:cxn modelId="{603192D8-EA79-4AEC-A557-ADE68D1F6DAB}" type="presOf" srcId="{0CA82140-6583-4958-AE77-31EA3F4C0671}" destId="{8D037B30-31E1-48C2-BF54-387CFA794C21}" srcOrd="0" destOrd="0" presId="urn:microsoft.com/office/officeart/2005/8/layout/chevron1"/>
    <dgm:cxn modelId="{4D966582-3320-4B6C-80ED-CC933F7609AF}" srcId="{470B8E82-D9C0-4D55-9685-64BFEDF8C72F}" destId="{0CA82140-6583-4958-AE77-31EA3F4C0671}" srcOrd="3" destOrd="0" parTransId="{FDA20DD6-CD16-49C9-9805-434B2E5AD58C}" sibTransId="{D7E1A1E0-EDDA-43C3-8C7F-A3B5F6E91978}"/>
    <dgm:cxn modelId="{CD2C4CEA-5C3C-43AA-8EE0-448F5615D3A8}" type="presParOf" srcId="{EF307310-9B4B-4F5A-AEAC-A80EA646AA90}" destId="{497DCB1A-A01E-4C56-87F0-95CFFC3E13EC}" srcOrd="0" destOrd="0" presId="urn:microsoft.com/office/officeart/2005/8/layout/chevron1"/>
    <dgm:cxn modelId="{A0024FD8-5409-4C5C-8A49-3F6A8A7CAF8A}" type="presParOf" srcId="{EF307310-9B4B-4F5A-AEAC-A80EA646AA90}" destId="{4FA528EE-DFB8-4AE2-A138-EBFB0EDAE299}" srcOrd="1" destOrd="0" presId="urn:microsoft.com/office/officeart/2005/8/layout/chevron1"/>
    <dgm:cxn modelId="{F02366F5-8B83-40EA-9B3C-635A906090F7}" type="presParOf" srcId="{EF307310-9B4B-4F5A-AEAC-A80EA646AA90}" destId="{3F78688B-5373-452C-A24B-0FDCE4119BC0}" srcOrd="2" destOrd="0" presId="urn:microsoft.com/office/officeart/2005/8/layout/chevron1"/>
    <dgm:cxn modelId="{3A1B320B-4516-4EA1-82C5-C80CD0CE6495}" type="presParOf" srcId="{EF307310-9B4B-4F5A-AEAC-A80EA646AA90}" destId="{47EE5D4E-59FE-417E-A38C-2D9906A55BC0}" srcOrd="3" destOrd="0" presId="urn:microsoft.com/office/officeart/2005/8/layout/chevron1"/>
    <dgm:cxn modelId="{8405B819-C29B-4909-81A8-6BD7E54253BB}" type="presParOf" srcId="{EF307310-9B4B-4F5A-AEAC-A80EA646AA90}" destId="{EE83932C-22E7-40BD-9327-151A21D52E16}" srcOrd="4" destOrd="0" presId="urn:microsoft.com/office/officeart/2005/8/layout/chevron1"/>
    <dgm:cxn modelId="{E95DC843-86A5-4D39-98CB-4F2C454F3F98}" type="presParOf" srcId="{EF307310-9B4B-4F5A-AEAC-A80EA646AA90}" destId="{89CB3419-3E38-4377-95EB-578007F8BBD4}" srcOrd="5" destOrd="0" presId="urn:microsoft.com/office/officeart/2005/8/layout/chevron1"/>
    <dgm:cxn modelId="{868973E7-BF32-4B2E-9ED2-E2A284D06EBF}" type="presParOf" srcId="{EF307310-9B4B-4F5A-AEAC-A80EA646AA90}" destId="{8D037B30-31E1-48C2-BF54-387CFA794C21}" srcOrd="6" destOrd="0" presId="urn:microsoft.com/office/officeart/2005/8/layout/chevron1"/>
    <dgm:cxn modelId="{A9AA1F88-9FB9-47F3-A549-83EBC8DE6449}" type="presParOf" srcId="{EF307310-9B4B-4F5A-AEAC-A80EA646AA90}" destId="{010D1FE6-82E2-4960-9F06-8AD9E9070F3E}" srcOrd="7" destOrd="0" presId="urn:microsoft.com/office/officeart/2005/8/layout/chevron1"/>
    <dgm:cxn modelId="{946F240C-18FD-4C52-86D4-B1008E039083}" type="presParOf" srcId="{EF307310-9B4B-4F5A-AEAC-A80EA646AA90}" destId="{D44D6B43-48AC-4007-983D-66AC114103B1}" srcOrd="8"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470B8E82-D9C0-4D55-9685-64BFEDF8C72F}" type="doc">
      <dgm:prSet loTypeId="urn:microsoft.com/office/officeart/2005/8/layout/chevron1" loCatId="process" qsTypeId="urn:microsoft.com/office/officeart/2005/8/quickstyle/simple1" qsCatId="simple" csTypeId="urn:microsoft.com/office/officeart/2005/8/colors/colorful4" csCatId="colorful" phldr="1"/>
      <dgm:spPr/>
    </dgm:pt>
    <dgm:pt modelId="{842EAEBA-52EE-417F-9F3A-6A261788B30B}">
      <dgm:prSet phldrT="[Texte]"/>
      <dgm:spPr/>
      <dgm:t>
        <a:bodyPr/>
        <a:lstStyle/>
        <a:p>
          <a:r>
            <a:rPr lang="fr-FR"/>
            <a:t>Production</a:t>
          </a:r>
        </a:p>
      </dgm:t>
    </dgm:pt>
    <dgm:pt modelId="{DF1054C1-6266-4EE7-BAE3-5DD2522B223C}" type="parTrans" cxnId="{99D70F34-7EE7-4883-AA65-206ADD4577D9}">
      <dgm:prSet/>
      <dgm:spPr/>
      <dgm:t>
        <a:bodyPr/>
        <a:lstStyle/>
        <a:p>
          <a:endParaRPr lang="fr-FR"/>
        </a:p>
      </dgm:t>
    </dgm:pt>
    <dgm:pt modelId="{E036281C-B0D7-42CC-80C9-F6A010295934}" type="sibTrans" cxnId="{99D70F34-7EE7-4883-AA65-206ADD4577D9}">
      <dgm:prSet/>
      <dgm:spPr/>
      <dgm:t>
        <a:bodyPr/>
        <a:lstStyle/>
        <a:p>
          <a:endParaRPr lang="fr-FR"/>
        </a:p>
      </dgm:t>
    </dgm:pt>
    <dgm:pt modelId="{46341699-0FE9-4311-A480-CFD15F0BA44A}">
      <dgm:prSet phldrT="[Texte]"/>
      <dgm:spPr/>
      <dgm:t>
        <a:bodyPr/>
        <a:lstStyle/>
        <a:p>
          <a:r>
            <a:rPr lang="fr-FR"/>
            <a:t>Transformation</a:t>
          </a:r>
        </a:p>
      </dgm:t>
    </dgm:pt>
    <dgm:pt modelId="{3FF1E6A5-21F9-4A25-8590-5AD029EBC7A3}" type="parTrans" cxnId="{1286E33E-7DD0-4ABF-9B74-734E1FE32734}">
      <dgm:prSet/>
      <dgm:spPr/>
      <dgm:t>
        <a:bodyPr/>
        <a:lstStyle/>
        <a:p>
          <a:endParaRPr lang="fr-FR"/>
        </a:p>
      </dgm:t>
    </dgm:pt>
    <dgm:pt modelId="{5CCCD494-BBD9-43B9-B946-CEF1AB050EAC}" type="sibTrans" cxnId="{1286E33E-7DD0-4ABF-9B74-734E1FE32734}">
      <dgm:prSet/>
      <dgm:spPr/>
      <dgm:t>
        <a:bodyPr/>
        <a:lstStyle/>
        <a:p>
          <a:endParaRPr lang="fr-FR"/>
        </a:p>
      </dgm:t>
    </dgm:pt>
    <dgm:pt modelId="{173C33A6-D80C-4EC3-8C49-A0FCE49E7BA5}">
      <dgm:prSet phldrT="[Texte]"/>
      <dgm:spPr/>
      <dgm:t>
        <a:bodyPr/>
        <a:lstStyle/>
        <a:p>
          <a:r>
            <a:rPr lang="fr-FR"/>
            <a:t>Distribution</a:t>
          </a:r>
        </a:p>
      </dgm:t>
    </dgm:pt>
    <dgm:pt modelId="{FC30A9C9-123B-44F3-A4F4-2513435297D7}" type="parTrans" cxnId="{5B02BCDE-26E0-436D-8E36-A424BA713344}">
      <dgm:prSet/>
      <dgm:spPr/>
      <dgm:t>
        <a:bodyPr/>
        <a:lstStyle/>
        <a:p>
          <a:endParaRPr lang="fr-FR"/>
        </a:p>
      </dgm:t>
    </dgm:pt>
    <dgm:pt modelId="{DB766474-4F58-48F1-901B-3D0B6D5645F5}" type="sibTrans" cxnId="{5B02BCDE-26E0-436D-8E36-A424BA713344}">
      <dgm:prSet/>
      <dgm:spPr/>
      <dgm:t>
        <a:bodyPr/>
        <a:lstStyle/>
        <a:p>
          <a:endParaRPr lang="fr-FR"/>
        </a:p>
      </dgm:t>
    </dgm:pt>
    <dgm:pt modelId="{0CA82140-6583-4958-AE77-31EA3F4C0671}">
      <dgm:prSet phldrT="[Texte]"/>
      <dgm:spPr/>
      <dgm:t>
        <a:bodyPr/>
        <a:lstStyle/>
        <a:p>
          <a:r>
            <a:rPr lang="fr-FR"/>
            <a:t>Consommation</a:t>
          </a:r>
        </a:p>
      </dgm:t>
    </dgm:pt>
    <dgm:pt modelId="{FDA20DD6-CD16-49C9-9805-434B2E5AD58C}" type="parTrans" cxnId="{4D966582-3320-4B6C-80ED-CC933F7609AF}">
      <dgm:prSet/>
      <dgm:spPr/>
      <dgm:t>
        <a:bodyPr/>
        <a:lstStyle/>
        <a:p>
          <a:endParaRPr lang="fr-FR"/>
        </a:p>
      </dgm:t>
    </dgm:pt>
    <dgm:pt modelId="{D7E1A1E0-EDDA-43C3-8C7F-A3B5F6E91978}" type="sibTrans" cxnId="{4D966582-3320-4B6C-80ED-CC933F7609AF}">
      <dgm:prSet/>
      <dgm:spPr/>
      <dgm:t>
        <a:bodyPr/>
        <a:lstStyle/>
        <a:p>
          <a:endParaRPr lang="fr-FR"/>
        </a:p>
      </dgm:t>
    </dgm:pt>
    <dgm:pt modelId="{4BA52A94-D0DB-414B-AC53-D2F24F3E6696}">
      <dgm:prSet phldrT="[Texte]"/>
      <dgm:spPr/>
      <dgm:t>
        <a:bodyPr/>
        <a:lstStyle/>
        <a:p>
          <a:r>
            <a:rPr lang="fr-FR"/>
            <a:t>Gestion fin de vie</a:t>
          </a:r>
        </a:p>
      </dgm:t>
    </dgm:pt>
    <dgm:pt modelId="{F9342FF0-D1C4-4A45-AA8C-B2EA3BA423B1}" type="parTrans" cxnId="{7E299BC2-4D40-43A2-89B6-E50010E7E69F}">
      <dgm:prSet/>
      <dgm:spPr/>
      <dgm:t>
        <a:bodyPr/>
        <a:lstStyle/>
        <a:p>
          <a:endParaRPr lang="fr-FR"/>
        </a:p>
      </dgm:t>
    </dgm:pt>
    <dgm:pt modelId="{E182C14E-CC21-4714-9EAE-A0EBAA0FAAAE}" type="sibTrans" cxnId="{7E299BC2-4D40-43A2-89B6-E50010E7E69F}">
      <dgm:prSet/>
      <dgm:spPr/>
      <dgm:t>
        <a:bodyPr/>
        <a:lstStyle/>
        <a:p>
          <a:endParaRPr lang="fr-FR"/>
        </a:p>
      </dgm:t>
    </dgm:pt>
    <dgm:pt modelId="{EF307310-9B4B-4F5A-AEAC-A80EA646AA90}" type="pres">
      <dgm:prSet presAssocID="{470B8E82-D9C0-4D55-9685-64BFEDF8C72F}" presName="Name0" presStyleCnt="0">
        <dgm:presLayoutVars>
          <dgm:dir/>
          <dgm:animLvl val="lvl"/>
          <dgm:resizeHandles val="exact"/>
        </dgm:presLayoutVars>
      </dgm:prSet>
      <dgm:spPr/>
    </dgm:pt>
    <dgm:pt modelId="{497DCB1A-A01E-4C56-87F0-95CFFC3E13EC}" type="pres">
      <dgm:prSet presAssocID="{842EAEBA-52EE-417F-9F3A-6A261788B30B}" presName="parTxOnly" presStyleLbl="node1" presStyleIdx="0" presStyleCnt="5">
        <dgm:presLayoutVars>
          <dgm:chMax val="0"/>
          <dgm:chPref val="0"/>
          <dgm:bulletEnabled val="1"/>
        </dgm:presLayoutVars>
      </dgm:prSet>
      <dgm:spPr/>
      <dgm:t>
        <a:bodyPr/>
        <a:lstStyle/>
        <a:p>
          <a:endParaRPr lang="fr-FR"/>
        </a:p>
      </dgm:t>
    </dgm:pt>
    <dgm:pt modelId="{4FA528EE-DFB8-4AE2-A138-EBFB0EDAE299}" type="pres">
      <dgm:prSet presAssocID="{E036281C-B0D7-42CC-80C9-F6A010295934}" presName="parTxOnlySpace" presStyleCnt="0"/>
      <dgm:spPr/>
    </dgm:pt>
    <dgm:pt modelId="{3F78688B-5373-452C-A24B-0FDCE4119BC0}" type="pres">
      <dgm:prSet presAssocID="{46341699-0FE9-4311-A480-CFD15F0BA44A}" presName="parTxOnly" presStyleLbl="node1" presStyleIdx="1" presStyleCnt="5">
        <dgm:presLayoutVars>
          <dgm:chMax val="0"/>
          <dgm:chPref val="0"/>
          <dgm:bulletEnabled val="1"/>
        </dgm:presLayoutVars>
      </dgm:prSet>
      <dgm:spPr/>
      <dgm:t>
        <a:bodyPr/>
        <a:lstStyle/>
        <a:p>
          <a:endParaRPr lang="fr-FR"/>
        </a:p>
      </dgm:t>
    </dgm:pt>
    <dgm:pt modelId="{47EE5D4E-59FE-417E-A38C-2D9906A55BC0}" type="pres">
      <dgm:prSet presAssocID="{5CCCD494-BBD9-43B9-B946-CEF1AB050EAC}" presName="parTxOnlySpace" presStyleCnt="0"/>
      <dgm:spPr/>
    </dgm:pt>
    <dgm:pt modelId="{EE83932C-22E7-40BD-9327-151A21D52E16}" type="pres">
      <dgm:prSet presAssocID="{173C33A6-D80C-4EC3-8C49-A0FCE49E7BA5}" presName="parTxOnly" presStyleLbl="node1" presStyleIdx="2" presStyleCnt="5">
        <dgm:presLayoutVars>
          <dgm:chMax val="0"/>
          <dgm:chPref val="0"/>
          <dgm:bulletEnabled val="1"/>
        </dgm:presLayoutVars>
      </dgm:prSet>
      <dgm:spPr/>
      <dgm:t>
        <a:bodyPr/>
        <a:lstStyle/>
        <a:p>
          <a:endParaRPr lang="fr-FR"/>
        </a:p>
      </dgm:t>
    </dgm:pt>
    <dgm:pt modelId="{89CB3419-3E38-4377-95EB-578007F8BBD4}" type="pres">
      <dgm:prSet presAssocID="{DB766474-4F58-48F1-901B-3D0B6D5645F5}" presName="parTxOnlySpace" presStyleCnt="0"/>
      <dgm:spPr/>
    </dgm:pt>
    <dgm:pt modelId="{8D037B30-31E1-48C2-BF54-387CFA794C21}" type="pres">
      <dgm:prSet presAssocID="{0CA82140-6583-4958-AE77-31EA3F4C0671}" presName="parTxOnly" presStyleLbl="node1" presStyleIdx="3" presStyleCnt="5">
        <dgm:presLayoutVars>
          <dgm:chMax val="0"/>
          <dgm:chPref val="0"/>
          <dgm:bulletEnabled val="1"/>
        </dgm:presLayoutVars>
      </dgm:prSet>
      <dgm:spPr/>
      <dgm:t>
        <a:bodyPr/>
        <a:lstStyle/>
        <a:p>
          <a:endParaRPr lang="fr-FR"/>
        </a:p>
      </dgm:t>
    </dgm:pt>
    <dgm:pt modelId="{010D1FE6-82E2-4960-9F06-8AD9E9070F3E}" type="pres">
      <dgm:prSet presAssocID="{D7E1A1E0-EDDA-43C3-8C7F-A3B5F6E91978}" presName="parTxOnlySpace" presStyleCnt="0"/>
      <dgm:spPr/>
    </dgm:pt>
    <dgm:pt modelId="{D44D6B43-48AC-4007-983D-66AC114103B1}" type="pres">
      <dgm:prSet presAssocID="{4BA52A94-D0DB-414B-AC53-D2F24F3E6696}" presName="parTxOnly" presStyleLbl="node1" presStyleIdx="4" presStyleCnt="5">
        <dgm:presLayoutVars>
          <dgm:chMax val="0"/>
          <dgm:chPref val="0"/>
          <dgm:bulletEnabled val="1"/>
        </dgm:presLayoutVars>
      </dgm:prSet>
      <dgm:spPr/>
      <dgm:t>
        <a:bodyPr/>
        <a:lstStyle/>
        <a:p>
          <a:endParaRPr lang="fr-FR"/>
        </a:p>
      </dgm:t>
    </dgm:pt>
  </dgm:ptLst>
  <dgm:cxnLst>
    <dgm:cxn modelId="{1286E33E-7DD0-4ABF-9B74-734E1FE32734}" srcId="{470B8E82-D9C0-4D55-9685-64BFEDF8C72F}" destId="{46341699-0FE9-4311-A480-CFD15F0BA44A}" srcOrd="1" destOrd="0" parTransId="{3FF1E6A5-21F9-4A25-8590-5AD029EBC7A3}" sibTransId="{5CCCD494-BBD9-43B9-B946-CEF1AB050EAC}"/>
    <dgm:cxn modelId="{99D70F34-7EE7-4883-AA65-206ADD4577D9}" srcId="{470B8E82-D9C0-4D55-9685-64BFEDF8C72F}" destId="{842EAEBA-52EE-417F-9F3A-6A261788B30B}" srcOrd="0" destOrd="0" parTransId="{DF1054C1-6266-4EE7-BAE3-5DD2522B223C}" sibTransId="{E036281C-B0D7-42CC-80C9-F6A010295934}"/>
    <dgm:cxn modelId="{BE7C7F7E-1164-4550-B9C8-6926FC96695F}" type="presOf" srcId="{173C33A6-D80C-4EC3-8C49-A0FCE49E7BA5}" destId="{EE83932C-22E7-40BD-9327-151A21D52E16}" srcOrd="0" destOrd="0" presId="urn:microsoft.com/office/officeart/2005/8/layout/chevron1"/>
    <dgm:cxn modelId="{4DFAB679-40E2-4B8E-9CD3-1077D0DD7515}" type="presOf" srcId="{470B8E82-D9C0-4D55-9685-64BFEDF8C72F}" destId="{EF307310-9B4B-4F5A-AEAC-A80EA646AA90}" srcOrd="0" destOrd="0" presId="urn:microsoft.com/office/officeart/2005/8/layout/chevron1"/>
    <dgm:cxn modelId="{28CDDCE1-77D1-4858-B1C3-A5C261C3C19E}" type="presOf" srcId="{46341699-0FE9-4311-A480-CFD15F0BA44A}" destId="{3F78688B-5373-452C-A24B-0FDCE4119BC0}" srcOrd="0" destOrd="0" presId="urn:microsoft.com/office/officeart/2005/8/layout/chevron1"/>
    <dgm:cxn modelId="{7E299BC2-4D40-43A2-89B6-E50010E7E69F}" srcId="{470B8E82-D9C0-4D55-9685-64BFEDF8C72F}" destId="{4BA52A94-D0DB-414B-AC53-D2F24F3E6696}" srcOrd="4" destOrd="0" parTransId="{F9342FF0-D1C4-4A45-AA8C-B2EA3BA423B1}" sibTransId="{E182C14E-CC21-4714-9EAE-A0EBAA0FAAAE}"/>
    <dgm:cxn modelId="{5B02BCDE-26E0-436D-8E36-A424BA713344}" srcId="{470B8E82-D9C0-4D55-9685-64BFEDF8C72F}" destId="{173C33A6-D80C-4EC3-8C49-A0FCE49E7BA5}" srcOrd="2" destOrd="0" parTransId="{FC30A9C9-123B-44F3-A4F4-2513435297D7}" sibTransId="{DB766474-4F58-48F1-901B-3D0B6D5645F5}"/>
    <dgm:cxn modelId="{0BFEB296-218F-4E44-BF68-6208C7A35489}" type="presOf" srcId="{4BA52A94-D0DB-414B-AC53-D2F24F3E6696}" destId="{D44D6B43-48AC-4007-983D-66AC114103B1}" srcOrd="0" destOrd="0" presId="urn:microsoft.com/office/officeart/2005/8/layout/chevron1"/>
    <dgm:cxn modelId="{CBF3BDD0-3DD2-4FA6-88A7-CF2C69CDE50E}" type="presOf" srcId="{842EAEBA-52EE-417F-9F3A-6A261788B30B}" destId="{497DCB1A-A01E-4C56-87F0-95CFFC3E13EC}" srcOrd="0" destOrd="0" presId="urn:microsoft.com/office/officeart/2005/8/layout/chevron1"/>
    <dgm:cxn modelId="{603192D8-EA79-4AEC-A557-ADE68D1F6DAB}" type="presOf" srcId="{0CA82140-6583-4958-AE77-31EA3F4C0671}" destId="{8D037B30-31E1-48C2-BF54-387CFA794C21}" srcOrd="0" destOrd="0" presId="urn:microsoft.com/office/officeart/2005/8/layout/chevron1"/>
    <dgm:cxn modelId="{4D966582-3320-4B6C-80ED-CC933F7609AF}" srcId="{470B8E82-D9C0-4D55-9685-64BFEDF8C72F}" destId="{0CA82140-6583-4958-AE77-31EA3F4C0671}" srcOrd="3" destOrd="0" parTransId="{FDA20DD6-CD16-49C9-9805-434B2E5AD58C}" sibTransId="{D7E1A1E0-EDDA-43C3-8C7F-A3B5F6E91978}"/>
    <dgm:cxn modelId="{CD2C4CEA-5C3C-43AA-8EE0-448F5615D3A8}" type="presParOf" srcId="{EF307310-9B4B-4F5A-AEAC-A80EA646AA90}" destId="{497DCB1A-A01E-4C56-87F0-95CFFC3E13EC}" srcOrd="0" destOrd="0" presId="urn:microsoft.com/office/officeart/2005/8/layout/chevron1"/>
    <dgm:cxn modelId="{A0024FD8-5409-4C5C-8A49-3F6A8A7CAF8A}" type="presParOf" srcId="{EF307310-9B4B-4F5A-AEAC-A80EA646AA90}" destId="{4FA528EE-DFB8-4AE2-A138-EBFB0EDAE299}" srcOrd="1" destOrd="0" presId="urn:microsoft.com/office/officeart/2005/8/layout/chevron1"/>
    <dgm:cxn modelId="{F02366F5-8B83-40EA-9B3C-635A906090F7}" type="presParOf" srcId="{EF307310-9B4B-4F5A-AEAC-A80EA646AA90}" destId="{3F78688B-5373-452C-A24B-0FDCE4119BC0}" srcOrd="2" destOrd="0" presId="urn:microsoft.com/office/officeart/2005/8/layout/chevron1"/>
    <dgm:cxn modelId="{3A1B320B-4516-4EA1-82C5-C80CD0CE6495}" type="presParOf" srcId="{EF307310-9B4B-4F5A-AEAC-A80EA646AA90}" destId="{47EE5D4E-59FE-417E-A38C-2D9906A55BC0}" srcOrd="3" destOrd="0" presId="urn:microsoft.com/office/officeart/2005/8/layout/chevron1"/>
    <dgm:cxn modelId="{8405B819-C29B-4909-81A8-6BD7E54253BB}" type="presParOf" srcId="{EF307310-9B4B-4F5A-AEAC-A80EA646AA90}" destId="{EE83932C-22E7-40BD-9327-151A21D52E16}" srcOrd="4" destOrd="0" presId="urn:microsoft.com/office/officeart/2005/8/layout/chevron1"/>
    <dgm:cxn modelId="{E95DC843-86A5-4D39-98CB-4F2C454F3F98}" type="presParOf" srcId="{EF307310-9B4B-4F5A-AEAC-A80EA646AA90}" destId="{89CB3419-3E38-4377-95EB-578007F8BBD4}" srcOrd="5" destOrd="0" presId="urn:microsoft.com/office/officeart/2005/8/layout/chevron1"/>
    <dgm:cxn modelId="{868973E7-BF32-4B2E-9ED2-E2A284D06EBF}" type="presParOf" srcId="{EF307310-9B4B-4F5A-AEAC-A80EA646AA90}" destId="{8D037B30-31E1-48C2-BF54-387CFA794C21}" srcOrd="6" destOrd="0" presId="urn:microsoft.com/office/officeart/2005/8/layout/chevron1"/>
    <dgm:cxn modelId="{A9AA1F88-9FB9-47F3-A549-83EBC8DE6449}" type="presParOf" srcId="{EF307310-9B4B-4F5A-AEAC-A80EA646AA90}" destId="{010D1FE6-82E2-4960-9F06-8AD9E9070F3E}" srcOrd="7" destOrd="0" presId="urn:microsoft.com/office/officeart/2005/8/layout/chevron1"/>
    <dgm:cxn modelId="{946F240C-18FD-4C52-86D4-B1008E039083}" type="presParOf" srcId="{EF307310-9B4B-4F5A-AEAC-A80EA646AA90}" destId="{D44D6B43-48AC-4007-983D-66AC114103B1}" srcOrd="8" destOrd="0" presId="urn:microsoft.com/office/officeart/2005/8/layout/chevron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470B8E82-D9C0-4D55-9685-64BFEDF8C72F}" type="doc">
      <dgm:prSet loTypeId="urn:microsoft.com/office/officeart/2005/8/layout/chevron1" loCatId="process" qsTypeId="urn:microsoft.com/office/officeart/2005/8/quickstyle/simple1" qsCatId="simple" csTypeId="urn:microsoft.com/office/officeart/2005/8/colors/colorful4" csCatId="colorful" phldr="1"/>
      <dgm:spPr/>
    </dgm:pt>
    <dgm:pt modelId="{842EAEBA-52EE-417F-9F3A-6A261788B30B}">
      <dgm:prSet phldrT="[Texte]"/>
      <dgm:spPr/>
      <dgm:t>
        <a:bodyPr/>
        <a:lstStyle/>
        <a:p>
          <a:r>
            <a:rPr lang="fr-FR"/>
            <a:t>Production</a:t>
          </a:r>
        </a:p>
      </dgm:t>
    </dgm:pt>
    <dgm:pt modelId="{DF1054C1-6266-4EE7-BAE3-5DD2522B223C}" type="parTrans" cxnId="{99D70F34-7EE7-4883-AA65-206ADD4577D9}">
      <dgm:prSet/>
      <dgm:spPr/>
      <dgm:t>
        <a:bodyPr/>
        <a:lstStyle/>
        <a:p>
          <a:endParaRPr lang="fr-FR"/>
        </a:p>
      </dgm:t>
    </dgm:pt>
    <dgm:pt modelId="{E036281C-B0D7-42CC-80C9-F6A010295934}" type="sibTrans" cxnId="{99D70F34-7EE7-4883-AA65-206ADD4577D9}">
      <dgm:prSet/>
      <dgm:spPr/>
      <dgm:t>
        <a:bodyPr/>
        <a:lstStyle/>
        <a:p>
          <a:endParaRPr lang="fr-FR"/>
        </a:p>
      </dgm:t>
    </dgm:pt>
    <dgm:pt modelId="{46341699-0FE9-4311-A480-CFD15F0BA44A}">
      <dgm:prSet phldrT="[Texte]"/>
      <dgm:spPr/>
      <dgm:t>
        <a:bodyPr/>
        <a:lstStyle/>
        <a:p>
          <a:r>
            <a:rPr lang="fr-FR"/>
            <a:t>Transformation</a:t>
          </a:r>
        </a:p>
      </dgm:t>
    </dgm:pt>
    <dgm:pt modelId="{3FF1E6A5-21F9-4A25-8590-5AD029EBC7A3}" type="parTrans" cxnId="{1286E33E-7DD0-4ABF-9B74-734E1FE32734}">
      <dgm:prSet/>
      <dgm:spPr/>
      <dgm:t>
        <a:bodyPr/>
        <a:lstStyle/>
        <a:p>
          <a:endParaRPr lang="fr-FR"/>
        </a:p>
      </dgm:t>
    </dgm:pt>
    <dgm:pt modelId="{5CCCD494-BBD9-43B9-B946-CEF1AB050EAC}" type="sibTrans" cxnId="{1286E33E-7DD0-4ABF-9B74-734E1FE32734}">
      <dgm:prSet/>
      <dgm:spPr/>
      <dgm:t>
        <a:bodyPr/>
        <a:lstStyle/>
        <a:p>
          <a:endParaRPr lang="fr-FR"/>
        </a:p>
      </dgm:t>
    </dgm:pt>
    <dgm:pt modelId="{173C33A6-D80C-4EC3-8C49-A0FCE49E7BA5}">
      <dgm:prSet phldrT="[Texte]"/>
      <dgm:spPr/>
      <dgm:t>
        <a:bodyPr/>
        <a:lstStyle/>
        <a:p>
          <a:r>
            <a:rPr lang="fr-FR"/>
            <a:t>Distribution</a:t>
          </a:r>
        </a:p>
      </dgm:t>
    </dgm:pt>
    <dgm:pt modelId="{FC30A9C9-123B-44F3-A4F4-2513435297D7}" type="parTrans" cxnId="{5B02BCDE-26E0-436D-8E36-A424BA713344}">
      <dgm:prSet/>
      <dgm:spPr/>
      <dgm:t>
        <a:bodyPr/>
        <a:lstStyle/>
        <a:p>
          <a:endParaRPr lang="fr-FR"/>
        </a:p>
      </dgm:t>
    </dgm:pt>
    <dgm:pt modelId="{DB766474-4F58-48F1-901B-3D0B6D5645F5}" type="sibTrans" cxnId="{5B02BCDE-26E0-436D-8E36-A424BA713344}">
      <dgm:prSet/>
      <dgm:spPr/>
      <dgm:t>
        <a:bodyPr/>
        <a:lstStyle/>
        <a:p>
          <a:endParaRPr lang="fr-FR"/>
        </a:p>
      </dgm:t>
    </dgm:pt>
    <dgm:pt modelId="{0CA82140-6583-4958-AE77-31EA3F4C0671}">
      <dgm:prSet phldrT="[Texte]"/>
      <dgm:spPr/>
      <dgm:t>
        <a:bodyPr/>
        <a:lstStyle/>
        <a:p>
          <a:r>
            <a:rPr lang="fr-FR"/>
            <a:t>Consommation</a:t>
          </a:r>
        </a:p>
      </dgm:t>
    </dgm:pt>
    <dgm:pt modelId="{FDA20DD6-CD16-49C9-9805-434B2E5AD58C}" type="parTrans" cxnId="{4D966582-3320-4B6C-80ED-CC933F7609AF}">
      <dgm:prSet/>
      <dgm:spPr/>
      <dgm:t>
        <a:bodyPr/>
        <a:lstStyle/>
        <a:p>
          <a:endParaRPr lang="fr-FR"/>
        </a:p>
      </dgm:t>
    </dgm:pt>
    <dgm:pt modelId="{D7E1A1E0-EDDA-43C3-8C7F-A3B5F6E91978}" type="sibTrans" cxnId="{4D966582-3320-4B6C-80ED-CC933F7609AF}">
      <dgm:prSet/>
      <dgm:spPr/>
      <dgm:t>
        <a:bodyPr/>
        <a:lstStyle/>
        <a:p>
          <a:endParaRPr lang="fr-FR"/>
        </a:p>
      </dgm:t>
    </dgm:pt>
    <dgm:pt modelId="{4BA52A94-D0DB-414B-AC53-D2F24F3E6696}">
      <dgm:prSet phldrT="[Texte]"/>
      <dgm:spPr/>
      <dgm:t>
        <a:bodyPr/>
        <a:lstStyle/>
        <a:p>
          <a:r>
            <a:rPr lang="fr-FR"/>
            <a:t>Gestion fin de vie</a:t>
          </a:r>
        </a:p>
      </dgm:t>
    </dgm:pt>
    <dgm:pt modelId="{F9342FF0-D1C4-4A45-AA8C-B2EA3BA423B1}" type="parTrans" cxnId="{7E299BC2-4D40-43A2-89B6-E50010E7E69F}">
      <dgm:prSet/>
      <dgm:spPr/>
      <dgm:t>
        <a:bodyPr/>
        <a:lstStyle/>
        <a:p>
          <a:endParaRPr lang="fr-FR"/>
        </a:p>
      </dgm:t>
    </dgm:pt>
    <dgm:pt modelId="{E182C14E-CC21-4714-9EAE-A0EBAA0FAAAE}" type="sibTrans" cxnId="{7E299BC2-4D40-43A2-89B6-E50010E7E69F}">
      <dgm:prSet/>
      <dgm:spPr/>
      <dgm:t>
        <a:bodyPr/>
        <a:lstStyle/>
        <a:p>
          <a:endParaRPr lang="fr-FR"/>
        </a:p>
      </dgm:t>
    </dgm:pt>
    <dgm:pt modelId="{EF307310-9B4B-4F5A-AEAC-A80EA646AA90}" type="pres">
      <dgm:prSet presAssocID="{470B8E82-D9C0-4D55-9685-64BFEDF8C72F}" presName="Name0" presStyleCnt="0">
        <dgm:presLayoutVars>
          <dgm:dir/>
          <dgm:animLvl val="lvl"/>
          <dgm:resizeHandles val="exact"/>
        </dgm:presLayoutVars>
      </dgm:prSet>
      <dgm:spPr/>
    </dgm:pt>
    <dgm:pt modelId="{497DCB1A-A01E-4C56-87F0-95CFFC3E13EC}" type="pres">
      <dgm:prSet presAssocID="{842EAEBA-52EE-417F-9F3A-6A261788B30B}" presName="parTxOnly" presStyleLbl="node1" presStyleIdx="0" presStyleCnt="5">
        <dgm:presLayoutVars>
          <dgm:chMax val="0"/>
          <dgm:chPref val="0"/>
          <dgm:bulletEnabled val="1"/>
        </dgm:presLayoutVars>
      </dgm:prSet>
      <dgm:spPr/>
      <dgm:t>
        <a:bodyPr/>
        <a:lstStyle/>
        <a:p>
          <a:endParaRPr lang="fr-FR"/>
        </a:p>
      </dgm:t>
    </dgm:pt>
    <dgm:pt modelId="{4FA528EE-DFB8-4AE2-A138-EBFB0EDAE299}" type="pres">
      <dgm:prSet presAssocID="{E036281C-B0D7-42CC-80C9-F6A010295934}" presName="parTxOnlySpace" presStyleCnt="0"/>
      <dgm:spPr/>
    </dgm:pt>
    <dgm:pt modelId="{3F78688B-5373-452C-A24B-0FDCE4119BC0}" type="pres">
      <dgm:prSet presAssocID="{46341699-0FE9-4311-A480-CFD15F0BA44A}" presName="parTxOnly" presStyleLbl="node1" presStyleIdx="1" presStyleCnt="5">
        <dgm:presLayoutVars>
          <dgm:chMax val="0"/>
          <dgm:chPref val="0"/>
          <dgm:bulletEnabled val="1"/>
        </dgm:presLayoutVars>
      </dgm:prSet>
      <dgm:spPr/>
      <dgm:t>
        <a:bodyPr/>
        <a:lstStyle/>
        <a:p>
          <a:endParaRPr lang="fr-FR"/>
        </a:p>
      </dgm:t>
    </dgm:pt>
    <dgm:pt modelId="{47EE5D4E-59FE-417E-A38C-2D9906A55BC0}" type="pres">
      <dgm:prSet presAssocID="{5CCCD494-BBD9-43B9-B946-CEF1AB050EAC}" presName="parTxOnlySpace" presStyleCnt="0"/>
      <dgm:spPr/>
    </dgm:pt>
    <dgm:pt modelId="{EE83932C-22E7-40BD-9327-151A21D52E16}" type="pres">
      <dgm:prSet presAssocID="{173C33A6-D80C-4EC3-8C49-A0FCE49E7BA5}" presName="parTxOnly" presStyleLbl="node1" presStyleIdx="2" presStyleCnt="5">
        <dgm:presLayoutVars>
          <dgm:chMax val="0"/>
          <dgm:chPref val="0"/>
          <dgm:bulletEnabled val="1"/>
        </dgm:presLayoutVars>
      </dgm:prSet>
      <dgm:spPr/>
      <dgm:t>
        <a:bodyPr/>
        <a:lstStyle/>
        <a:p>
          <a:endParaRPr lang="fr-FR"/>
        </a:p>
      </dgm:t>
    </dgm:pt>
    <dgm:pt modelId="{89CB3419-3E38-4377-95EB-578007F8BBD4}" type="pres">
      <dgm:prSet presAssocID="{DB766474-4F58-48F1-901B-3D0B6D5645F5}" presName="parTxOnlySpace" presStyleCnt="0"/>
      <dgm:spPr/>
    </dgm:pt>
    <dgm:pt modelId="{8D037B30-31E1-48C2-BF54-387CFA794C21}" type="pres">
      <dgm:prSet presAssocID="{0CA82140-6583-4958-AE77-31EA3F4C0671}" presName="parTxOnly" presStyleLbl="node1" presStyleIdx="3" presStyleCnt="5">
        <dgm:presLayoutVars>
          <dgm:chMax val="0"/>
          <dgm:chPref val="0"/>
          <dgm:bulletEnabled val="1"/>
        </dgm:presLayoutVars>
      </dgm:prSet>
      <dgm:spPr/>
      <dgm:t>
        <a:bodyPr/>
        <a:lstStyle/>
        <a:p>
          <a:endParaRPr lang="fr-FR"/>
        </a:p>
      </dgm:t>
    </dgm:pt>
    <dgm:pt modelId="{010D1FE6-82E2-4960-9F06-8AD9E9070F3E}" type="pres">
      <dgm:prSet presAssocID="{D7E1A1E0-EDDA-43C3-8C7F-A3B5F6E91978}" presName="parTxOnlySpace" presStyleCnt="0"/>
      <dgm:spPr/>
    </dgm:pt>
    <dgm:pt modelId="{D44D6B43-48AC-4007-983D-66AC114103B1}" type="pres">
      <dgm:prSet presAssocID="{4BA52A94-D0DB-414B-AC53-D2F24F3E6696}" presName="parTxOnly" presStyleLbl="node1" presStyleIdx="4" presStyleCnt="5">
        <dgm:presLayoutVars>
          <dgm:chMax val="0"/>
          <dgm:chPref val="0"/>
          <dgm:bulletEnabled val="1"/>
        </dgm:presLayoutVars>
      </dgm:prSet>
      <dgm:spPr/>
      <dgm:t>
        <a:bodyPr/>
        <a:lstStyle/>
        <a:p>
          <a:endParaRPr lang="fr-FR"/>
        </a:p>
      </dgm:t>
    </dgm:pt>
  </dgm:ptLst>
  <dgm:cxnLst>
    <dgm:cxn modelId="{1286E33E-7DD0-4ABF-9B74-734E1FE32734}" srcId="{470B8E82-D9C0-4D55-9685-64BFEDF8C72F}" destId="{46341699-0FE9-4311-A480-CFD15F0BA44A}" srcOrd="1" destOrd="0" parTransId="{3FF1E6A5-21F9-4A25-8590-5AD029EBC7A3}" sibTransId="{5CCCD494-BBD9-43B9-B946-CEF1AB050EAC}"/>
    <dgm:cxn modelId="{99D70F34-7EE7-4883-AA65-206ADD4577D9}" srcId="{470B8E82-D9C0-4D55-9685-64BFEDF8C72F}" destId="{842EAEBA-52EE-417F-9F3A-6A261788B30B}" srcOrd="0" destOrd="0" parTransId="{DF1054C1-6266-4EE7-BAE3-5DD2522B223C}" sibTransId="{E036281C-B0D7-42CC-80C9-F6A010295934}"/>
    <dgm:cxn modelId="{BE7C7F7E-1164-4550-B9C8-6926FC96695F}" type="presOf" srcId="{173C33A6-D80C-4EC3-8C49-A0FCE49E7BA5}" destId="{EE83932C-22E7-40BD-9327-151A21D52E16}" srcOrd="0" destOrd="0" presId="urn:microsoft.com/office/officeart/2005/8/layout/chevron1"/>
    <dgm:cxn modelId="{4DFAB679-40E2-4B8E-9CD3-1077D0DD7515}" type="presOf" srcId="{470B8E82-D9C0-4D55-9685-64BFEDF8C72F}" destId="{EF307310-9B4B-4F5A-AEAC-A80EA646AA90}" srcOrd="0" destOrd="0" presId="urn:microsoft.com/office/officeart/2005/8/layout/chevron1"/>
    <dgm:cxn modelId="{28CDDCE1-77D1-4858-B1C3-A5C261C3C19E}" type="presOf" srcId="{46341699-0FE9-4311-A480-CFD15F0BA44A}" destId="{3F78688B-5373-452C-A24B-0FDCE4119BC0}" srcOrd="0" destOrd="0" presId="urn:microsoft.com/office/officeart/2005/8/layout/chevron1"/>
    <dgm:cxn modelId="{7E299BC2-4D40-43A2-89B6-E50010E7E69F}" srcId="{470B8E82-D9C0-4D55-9685-64BFEDF8C72F}" destId="{4BA52A94-D0DB-414B-AC53-D2F24F3E6696}" srcOrd="4" destOrd="0" parTransId="{F9342FF0-D1C4-4A45-AA8C-B2EA3BA423B1}" sibTransId="{E182C14E-CC21-4714-9EAE-A0EBAA0FAAAE}"/>
    <dgm:cxn modelId="{5B02BCDE-26E0-436D-8E36-A424BA713344}" srcId="{470B8E82-D9C0-4D55-9685-64BFEDF8C72F}" destId="{173C33A6-D80C-4EC3-8C49-A0FCE49E7BA5}" srcOrd="2" destOrd="0" parTransId="{FC30A9C9-123B-44F3-A4F4-2513435297D7}" sibTransId="{DB766474-4F58-48F1-901B-3D0B6D5645F5}"/>
    <dgm:cxn modelId="{0BFEB296-218F-4E44-BF68-6208C7A35489}" type="presOf" srcId="{4BA52A94-D0DB-414B-AC53-D2F24F3E6696}" destId="{D44D6B43-48AC-4007-983D-66AC114103B1}" srcOrd="0" destOrd="0" presId="urn:microsoft.com/office/officeart/2005/8/layout/chevron1"/>
    <dgm:cxn modelId="{CBF3BDD0-3DD2-4FA6-88A7-CF2C69CDE50E}" type="presOf" srcId="{842EAEBA-52EE-417F-9F3A-6A261788B30B}" destId="{497DCB1A-A01E-4C56-87F0-95CFFC3E13EC}" srcOrd="0" destOrd="0" presId="urn:microsoft.com/office/officeart/2005/8/layout/chevron1"/>
    <dgm:cxn modelId="{603192D8-EA79-4AEC-A557-ADE68D1F6DAB}" type="presOf" srcId="{0CA82140-6583-4958-AE77-31EA3F4C0671}" destId="{8D037B30-31E1-48C2-BF54-387CFA794C21}" srcOrd="0" destOrd="0" presId="urn:microsoft.com/office/officeart/2005/8/layout/chevron1"/>
    <dgm:cxn modelId="{4D966582-3320-4B6C-80ED-CC933F7609AF}" srcId="{470B8E82-D9C0-4D55-9685-64BFEDF8C72F}" destId="{0CA82140-6583-4958-AE77-31EA3F4C0671}" srcOrd="3" destOrd="0" parTransId="{FDA20DD6-CD16-49C9-9805-434B2E5AD58C}" sibTransId="{D7E1A1E0-EDDA-43C3-8C7F-A3B5F6E91978}"/>
    <dgm:cxn modelId="{CD2C4CEA-5C3C-43AA-8EE0-448F5615D3A8}" type="presParOf" srcId="{EF307310-9B4B-4F5A-AEAC-A80EA646AA90}" destId="{497DCB1A-A01E-4C56-87F0-95CFFC3E13EC}" srcOrd="0" destOrd="0" presId="urn:microsoft.com/office/officeart/2005/8/layout/chevron1"/>
    <dgm:cxn modelId="{A0024FD8-5409-4C5C-8A49-3F6A8A7CAF8A}" type="presParOf" srcId="{EF307310-9B4B-4F5A-AEAC-A80EA646AA90}" destId="{4FA528EE-DFB8-4AE2-A138-EBFB0EDAE299}" srcOrd="1" destOrd="0" presId="urn:microsoft.com/office/officeart/2005/8/layout/chevron1"/>
    <dgm:cxn modelId="{F02366F5-8B83-40EA-9B3C-635A906090F7}" type="presParOf" srcId="{EF307310-9B4B-4F5A-AEAC-A80EA646AA90}" destId="{3F78688B-5373-452C-A24B-0FDCE4119BC0}" srcOrd="2" destOrd="0" presId="urn:microsoft.com/office/officeart/2005/8/layout/chevron1"/>
    <dgm:cxn modelId="{3A1B320B-4516-4EA1-82C5-C80CD0CE6495}" type="presParOf" srcId="{EF307310-9B4B-4F5A-AEAC-A80EA646AA90}" destId="{47EE5D4E-59FE-417E-A38C-2D9906A55BC0}" srcOrd="3" destOrd="0" presId="urn:microsoft.com/office/officeart/2005/8/layout/chevron1"/>
    <dgm:cxn modelId="{8405B819-C29B-4909-81A8-6BD7E54253BB}" type="presParOf" srcId="{EF307310-9B4B-4F5A-AEAC-A80EA646AA90}" destId="{EE83932C-22E7-40BD-9327-151A21D52E16}" srcOrd="4" destOrd="0" presId="urn:microsoft.com/office/officeart/2005/8/layout/chevron1"/>
    <dgm:cxn modelId="{E95DC843-86A5-4D39-98CB-4F2C454F3F98}" type="presParOf" srcId="{EF307310-9B4B-4F5A-AEAC-A80EA646AA90}" destId="{89CB3419-3E38-4377-95EB-578007F8BBD4}" srcOrd="5" destOrd="0" presId="urn:microsoft.com/office/officeart/2005/8/layout/chevron1"/>
    <dgm:cxn modelId="{868973E7-BF32-4B2E-9ED2-E2A284D06EBF}" type="presParOf" srcId="{EF307310-9B4B-4F5A-AEAC-A80EA646AA90}" destId="{8D037B30-31E1-48C2-BF54-387CFA794C21}" srcOrd="6" destOrd="0" presId="urn:microsoft.com/office/officeart/2005/8/layout/chevron1"/>
    <dgm:cxn modelId="{A9AA1F88-9FB9-47F3-A549-83EBC8DE6449}" type="presParOf" srcId="{EF307310-9B4B-4F5A-AEAC-A80EA646AA90}" destId="{010D1FE6-82E2-4960-9F06-8AD9E9070F3E}" srcOrd="7" destOrd="0" presId="urn:microsoft.com/office/officeart/2005/8/layout/chevron1"/>
    <dgm:cxn modelId="{946F240C-18FD-4C52-86D4-B1008E039083}" type="presParOf" srcId="{EF307310-9B4B-4F5A-AEAC-A80EA646AA90}" destId="{D44D6B43-48AC-4007-983D-66AC114103B1}" srcOrd="8" destOrd="0" presId="urn:microsoft.com/office/officeart/2005/8/layout/chevron1"/>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97DCB1A-A01E-4C56-87F0-95CFFC3E13EC}">
      <dsp:nvSpPr>
        <dsp:cNvPr id="0" name=""/>
        <dsp:cNvSpPr/>
      </dsp:nvSpPr>
      <dsp:spPr>
        <a:xfrm>
          <a:off x="2490" y="683502"/>
          <a:ext cx="2216646" cy="886658"/>
        </a:xfrm>
        <a:prstGeom prst="chevron">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008" tIns="20003" rIns="20003" bIns="20003" numCol="1" spcCol="1270" anchor="ctr" anchorCtr="0">
          <a:noAutofit/>
        </a:bodyPr>
        <a:lstStyle/>
        <a:p>
          <a:pPr lvl="0" algn="ctr" defTabSz="666750">
            <a:lnSpc>
              <a:spcPct val="90000"/>
            </a:lnSpc>
            <a:spcBef>
              <a:spcPct val="0"/>
            </a:spcBef>
            <a:spcAft>
              <a:spcPct val="35000"/>
            </a:spcAft>
          </a:pPr>
          <a:r>
            <a:rPr lang="fr-FR" sz="1500" kern="1200"/>
            <a:t>Production</a:t>
          </a:r>
        </a:p>
      </dsp:txBody>
      <dsp:txXfrm>
        <a:off x="445819" y="683502"/>
        <a:ext cx="1329988" cy="886658"/>
      </dsp:txXfrm>
    </dsp:sp>
    <dsp:sp modelId="{3F78688B-5373-452C-A24B-0FDCE4119BC0}">
      <dsp:nvSpPr>
        <dsp:cNvPr id="0" name=""/>
        <dsp:cNvSpPr/>
      </dsp:nvSpPr>
      <dsp:spPr>
        <a:xfrm>
          <a:off x="1997472" y="683502"/>
          <a:ext cx="2216646" cy="886658"/>
        </a:xfrm>
        <a:prstGeom prst="chevron">
          <a:avLst/>
        </a:prstGeom>
        <a:solidFill>
          <a:schemeClr val="accent4">
            <a:hueOff val="2450223"/>
            <a:satOff val="-10194"/>
            <a:lumOff val="240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008" tIns="20003" rIns="20003" bIns="20003" numCol="1" spcCol="1270" anchor="ctr" anchorCtr="0">
          <a:noAutofit/>
        </a:bodyPr>
        <a:lstStyle/>
        <a:p>
          <a:pPr lvl="0" algn="ctr" defTabSz="666750">
            <a:lnSpc>
              <a:spcPct val="90000"/>
            </a:lnSpc>
            <a:spcBef>
              <a:spcPct val="0"/>
            </a:spcBef>
            <a:spcAft>
              <a:spcPct val="35000"/>
            </a:spcAft>
          </a:pPr>
          <a:r>
            <a:rPr lang="fr-FR" sz="1500" kern="1200"/>
            <a:t>Transformation</a:t>
          </a:r>
        </a:p>
      </dsp:txBody>
      <dsp:txXfrm>
        <a:off x="2440801" y="683502"/>
        <a:ext cx="1329988" cy="886658"/>
      </dsp:txXfrm>
    </dsp:sp>
    <dsp:sp modelId="{EE83932C-22E7-40BD-9327-151A21D52E16}">
      <dsp:nvSpPr>
        <dsp:cNvPr id="0" name=""/>
        <dsp:cNvSpPr/>
      </dsp:nvSpPr>
      <dsp:spPr>
        <a:xfrm>
          <a:off x="3992454" y="683502"/>
          <a:ext cx="2216646" cy="886658"/>
        </a:xfrm>
        <a:prstGeom prst="chevron">
          <a:avLst/>
        </a:prstGeom>
        <a:solidFill>
          <a:schemeClr val="accent4">
            <a:hueOff val="4900445"/>
            <a:satOff val="-20388"/>
            <a:lumOff val="480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008" tIns="20003" rIns="20003" bIns="20003" numCol="1" spcCol="1270" anchor="ctr" anchorCtr="0">
          <a:noAutofit/>
        </a:bodyPr>
        <a:lstStyle/>
        <a:p>
          <a:pPr lvl="0" algn="ctr" defTabSz="666750">
            <a:lnSpc>
              <a:spcPct val="90000"/>
            </a:lnSpc>
            <a:spcBef>
              <a:spcPct val="0"/>
            </a:spcBef>
            <a:spcAft>
              <a:spcPct val="35000"/>
            </a:spcAft>
          </a:pPr>
          <a:r>
            <a:rPr lang="fr-FR" sz="1500" kern="1200"/>
            <a:t>Distribution</a:t>
          </a:r>
        </a:p>
      </dsp:txBody>
      <dsp:txXfrm>
        <a:off x="4435783" y="683502"/>
        <a:ext cx="1329988" cy="886658"/>
      </dsp:txXfrm>
    </dsp:sp>
    <dsp:sp modelId="{8D037B30-31E1-48C2-BF54-387CFA794C21}">
      <dsp:nvSpPr>
        <dsp:cNvPr id="0" name=""/>
        <dsp:cNvSpPr/>
      </dsp:nvSpPr>
      <dsp:spPr>
        <a:xfrm>
          <a:off x="5987436" y="683502"/>
          <a:ext cx="2216646" cy="886658"/>
        </a:xfrm>
        <a:prstGeom prst="chevron">
          <a:avLst/>
        </a:prstGeom>
        <a:solidFill>
          <a:schemeClr val="accent4">
            <a:hueOff val="7350668"/>
            <a:satOff val="-30583"/>
            <a:lumOff val="7206"/>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008" tIns="20003" rIns="20003" bIns="20003" numCol="1" spcCol="1270" anchor="ctr" anchorCtr="0">
          <a:noAutofit/>
        </a:bodyPr>
        <a:lstStyle/>
        <a:p>
          <a:pPr lvl="0" algn="ctr" defTabSz="666750">
            <a:lnSpc>
              <a:spcPct val="90000"/>
            </a:lnSpc>
            <a:spcBef>
              <a:spcPct val="0"/>
            </a:spcBef>
            <a:spcAft>
              <a:spcPct val="35000"/>
            </a:spcAft>
          </a:pPr>
          <a:r>
            <a:rPr lang="fr-FR" sz="1500" kern="1200"/>
            <a:t>Consommation</a:t>
          </a:r>
        </a:p>
      </dsp:txBody>
      <dsp:txXfrm>
        <a:off x="6430765" y="683502"/>
        <a:ext cx="1329988" cy="886658"/>
      </dsp:txXfrm>
    </dsp:sp>
    <dsp:sp modelId="{D44D6B43-48AC-4007-983D-66AC114103B1}">
      <dsp:nvSpPr>
        <dsp:cNvPr id="0" name=""/>
        <dsp:cNvSpPr/>
      </dsp:nvSpPr>
      <dsp:spPr>
        <a:xfrm>
          <a:off x="7982417" y="683502"/>
          <a:ext cx="2216646" cy="886658"/>
        </a:xfrm>
        <a:prstGeom prst="chevron">
          <a:avLst/>
        </a:prstGeom>
        <a:solidFill>
          <a:schemeClr val="accent4">
            <a:hueOff val="9800891"/>
            <a:satOff val="-40777"/>
            <a:lumOff val="960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008" tIns="20003" rIns="20003" bIns="20003" numCol="1" spcCol="1270" anchor="ctr" anchorCtr="0">
          <a:noAutofit/>
        </a:bodyPr>
        <a:lstStyle/>
        <a:p>
          <a:pPr lvl="0" algn="ctr" defTabSz="666750">
            <a:lnSpc>
              <a:spcPct val="90000"/>
            </a:lnSpc>
            <a:spcBef>
              <a:spcPct val="0"/>
            </a:spcBef>
            <a:spcAft>
              <a:spcPct val="35000"/>
            </a:spcAft>
          </a:pPr>
          <a:r>
            <a:rPr lang="fr-FR" sz="1500" kern="1200"/>
            <a:t>Gestion fin de vie</a:t>
          </a:r>
        </a:p>
      </dsp:txBody>
      <dsp:txXfrm>
        <a:off x="8425746" y="683502"/>
        <a:ext cx="1329988" cy="88665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97DCB1A-A01E-4C56-87F0-95CFFC3E13EC}">
      <dsp:nvSpPr>
        <dsp:cNvPr id="0" name=""/>
        <dsp:cNvSpPr/>
      </dsp:nvSpPr>
      <dsp:spPr>
        <a:xfrm>
          <a:off x="2625" y="655435"/>
          <a:ext cx="2337020" cy="934808"/>
        </a:xfrm>
        <a:prstGeom prst="chevron">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21336" rIns="21336" bIns="21336" numCol="1" spcCol="1270" anchor="ctr" anchorCtr="0">
          <a:noAutofit/>
        </a:bodyPr>
        <a:lstStyle/>
        <a:p>
          <a:pPr lvl="0" algn="ctr" defTabSz="711200">
            <a:lnSpc>
              <a:spcPct val="90000"/>
            </a:lnSpc>
            <a:spcBef>
              <a:spcPct val="0"/>
            </a:spcBef>
            <a:spcAft>
              <a:spcPct val="35000"/>
            </a:spcAft>
          </a:pPr>
          <a:r>
            <a:rPr lang="fr-FR" sz="1600" kern="1200"/>
            <a:t>Production</a:t>
          </a:r>
        </a:p>
      </dsp:txBody>
      <dsp:txXfrm>
        <a:off x="470029" y="655435"/>
        <a:ext cx="1402212" cy="934808"/>
      </dsp:txXfrm>
    </dsp:sp>
    <dsp:sp modelId="{3F78688B-5373-452C-A24B-0FDCE4119BC0}">
      <dsp:nvSpPr>
        <dsp:cNvPr id="0" name=""/>
        <dsp:cNvSpPr/>
      </dsp:nvSpPr>
      <dsp:spPr>
        <a:xfrm>
          <a:off x="2105944" y="655435"/>
          <a:ext cx="2337020" cy="934808"/>
        </a:xfrm>
        <a:prstGeom prst="chevron">
          <a:avLst/>
        </a:prstGeom>
        <a:solidFill>
          <a:schemeClr val="accent4">
            <a:hueOff val="2450223"/>
            <a:satOff val="-10194"/>
            <a:lumOff val="240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21336" rIns="21336" bIns="21336" numCol="1" spcCol="1270" anchor="ctr" anchorCtr="0">
          <a:noAutofit/>
        </a:bodyPr>
        <a:lstStyle/>
        <a:p>
          <a:pPr lvl="0" algn="ctr" defTabSz="711200">
            <a:lnSpc>
              <a:spcPct val="90000"/>
            </a:lnSpc>
            <a:spcBef>
              <a:spcPct val="0"/>
            </a:spcBef>
            <a:spcAft>
              <a:spcPct val="35000"/>
            </a:spcAft>
          </a:pPr>
          <a:r>
            <a:rPr lang="fr-FR" sz="1600" kern="1200"/>
            <a:t>Transformation</a:t>
          </a:r>
        </a:p>
      </dsp:txBody>
      <dsp:txXfrm>
        <a:off x="2573348" y="655435"/>
        <a:ext cx="1402212" cy="934808"/>
      </dsp:txXfrm>
    </dsp:sp>
    <dsp:sp modelId="{EE83932C-22E7-40BD-9327-151A21D52E16}">
      <dsp:nvSpPr>
        <dsp:cNvPr id="0" name=""/>
        <dsp:cNvSpPr/>
      </dsp:nvSpPr>
      <dsp:spPr>
        <a:xfrm>
          <a:off x="4209262" y="655435"/>
          <a:ext cx="2337020" cy="934808"/>
        </a:xfrm>
        <a:prstGeom prst="chevron">
          <a:avLst/>
        </a:prstGeom>
        <a:solidFill>
          <a:schemeClr val="accent4">
            <a:hueOff val="4900445"/>
            <a:satOff val="-20388"/>
            <a:lumOff val="480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21336" rIns="21336" bIns="21336" numCol="1" spcCol="1270" anchor="ctr" anchorCtr="0">
          <a:noAutofit/>
        </a:bodyPr>
        <a:lstStyle/>
        <a:p>
          <a:pPr lvl="0" algn="ctr" defTabSz="711200">
            <a:lnSpc>
              <a:spcPct val="90000"/>
            </a:lnSpc>
            <a:spcBef>
              <a:spcPct val="0"/>
            </a:spcBef>
            <a:spcAft>
              <a:spcPct val="35000"/>
            </a:spcAft>
          </a:pPr>
          <a:r>
            <a:rPr lang="fr-FR" sz="1600" kern="1200"/>
            <a:t>Distribution</a:t>
          </a:r>
        </a:p>
      </dsp:txBody>
      <dsp:txXfrm>
        <a:off x="4676666" y="655435"/>
        <a:ext cx="1402212" cy="934808"/>
      </dsp:txXfrm>
    </dsp:sp>
    <dsp:sp modelId="{8D037B30-31E1-48C2-BF54-387CFA794C21}">
      <dsp:nvSpPr>
        <dsp:cNvPr id="0" name=""/>
        <dsp:cNvSpPr/>
      </dsp:nvSpPr>
      <dsp:spPr>
        <a:xfrm>
          <a:off x="6312581" y="655435"/>
          <a:ext cx="2337020" cy="934808"/>
        </a:xfrm>
        <a:prstGeom prst="chevron">
          <a:avLst/>
        </a:prstGeom>
        <a:solidFill>
          <a:schemeClr val="accent4">
            <a:hueOff val="7350668"/>
            <a:satOff val="-30583"/>
            <a:lumOff val="7206"/>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21336" rIns="21336" bIns="21336" numCol="1" spcCol="1270" anchor="ctr" anchorCtr="0">
          <a:noAutofit/>
        </a:bodyPr>
        <a:lstStyle/>
        <a:p>
          <a:pPr lvl="0" algn="ctr" defTabSz="711200">
            <a:lnSpc>
              <a:spcPct val="90000"/>
            </a:lnSpc>
            <a:spcBef>
              <a:spcPct val="0"/>
            </a:spcBef>
            <a:spcAft>
              <a:spcPct val="35000"/>
            </a:spcAft>
          </a:pPr>
          <a:r>
            <a:rPr lang="fr-FR" sz="1600" kern="1200"/>
            <a:t>Consommation</a:t>
          </a:r>
        </a:p>
      </dsp:txBody>
      <dsp:txXfrm>
        <a:off x="6779985" y="655435"/>
        <a:ext cx="1402212" cy="934808"/>
      </dsp:txXfrm>
    </dsp:sp>
    <dsp:sp modelId="{D44D6B43-48AC-4007-983D-66AC114103B1}">
      <dsp:nvSpPr>
        <dsp:cNvPr id="0" name=""/>
        <dsp:cNvSpPr/>
      </dsp:nvSpPr>
      <dsp:spPr>
        <a:xfrm>
          <a:off x="8415899" y="655435"/>
          <a:ext cx="2337020" cy="934808"/>
        </a:xfrm>
        <a:prstGeom prst="chevron">
          <a:avLst/>
        </a:prstGeom>
        <a:solidFill>
          <a:schemeClr val="accent4">
            <a:hueOff val="9800891"/>
            <a:satOff val="-40777"/>
            <a:lumOff val="960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21336" rIns="21336" bIns="21336" numCol="1" spcCol="1270" anchor="ctr" anchorCtr="0">
          <a:noAutofit/>
        </a:bodyPr>
        <a:lstStyle/>
        <a:p>
          <a:pPr lvl="0" algn="ctr" defTabSz="711200">
            <a:lnSpc>
              <a:spcPct val="90000"/>
            </a:lnSpc>
            <a:spcBef>
              <a:spcPct val="0"/>
            </a:spcBef>
            <a:spcAft>
              <a:spcPct val="35000"/>
            </a:spcAft>
          </a:pPr>
          <a:r>
            <a:rPr lang="fr-FR" sz="1600" kern="1200"/>
            <a:t>Gestion fin de vie</a:t>
          </a:r>
        </a:p>
      </dsp:txBody>
      <dsp:txXfrm>
        <a:off x="8883303" y="655435"/>
        <a:ext cx="1402212" cy="93480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97DCB1A-A01E-4C56-87F0-95CFFC3E13EC}">
      <dsp:nvSpPr>
        <dsp:cNvPr id="0" name=""/>
        <dsp:cNvSpPr/>
      </dsp:nvSpPr>
      <dsp:spPr>
        <a:xfrm>
          <a:off x="3896" y="0"/>
          <a:ext cx="3468127" cy="789212"/>
        </a:xfrm>
        <a:prstGeom prst="chevron">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2014" tIns="37338" rIns="37338" bIns="37338" numCol="1" spcCol="1270" anchor="ctr" anchorCtr="0">
          <a:noAutofit/>
        </a:bodyPr>
        <a:lstStyle/>
        <a:p>
          <a:pPr lvl="0" algn="ctr" defTabSz="1244600">
            <a:lnSpc>
              <a:spcPct val="90000"/>
            </a:lnSpc>
            <a:spcBef>
              <a:spcPct val="0"/>
            </a:spcBef>
            <a:spcAft>
              <a:spcPct val="35000"/>
            </a:spcAft>
          </a:pPr>
          <a:r>
            <a:rPr lang="fr-FR" sz="2800" kern="1200"/>
            <a:t>Production</a:t>
          </a:r>
        </a:p>
      </dsp:txBody>
      <dsp:txXfrm>
        <a:off x="398502" y="0"/>
        <a:ext cx="2678915" cy="789212"/>
      </dsp:txXfrm>
    </dsp:sp>
    <dsp:sp modelId="{3F78688B-5373-452C-A24B-0FDCE4119BC0}">
      <dsp:nvSpPr>
        <dsp:cNvPr id="0" name=""/>
        <dsp:cNvSpPr/>
      </dsp:nvSpPr>
      <dsp:spPr>
        <a:xfrm>
          <a:off x="3125211" y="0"/>
          <a:ext cx="3468127" cy="789212"/>
        </a:xfrm>
        <a:prstGeom prst="chevron">
          <a:avLst/>
        </a:prstGeom>
        <a:solidFill>
          <a:schemeClr val="accent4">
            <a:hueOff val="2450223"/>
            <a:satOff val="-10194"/>
            <a:lumOff val="240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2014" tIns="37338" rIns="37338" bIns="37338" numCol="1" spcCol="1270" anchor="ctr" anchorCtr="0">
          <a:noAutofit/>
        </a:bodyPr>
        <a:lstStyle/>
        <a:p>
          <a:pPr lvl="0" algn="ctr" defTabSz="1244600">
            <a:lnSpc>
              <a:spcPct val="90000"/>
            </a:lnSpc>
            <a:spcBef>
              <a:spcPct val="0"/>
            </a:spcBef>
            <a:spcAft>
              <a:spcPct val="35000"/>
            </a:spcAft>
          </a:pPr>
          <a:r>
            <a:rPr lang="fr-FR" sz="2800" kern="1200"/>
            <a:t>Transformation</a:t>
          </a:r>
        </a:p>
      </dsp:txBody>
      <dsp:txXfrm>
        <a:off x="3519817" y="0"/>
        <a:ext cx="2678915" cy="789212"/>
      </dsp:txXfrm>
    </dsp:sp>
    <dsp:sp modelId="{EE83932C-22E7-40BD-9327-151A21D52E16}">
      <dsp:nvSpPr>
        <dsp:cNvPr id="0" name=""/>
        <dsp:cNvSpPr/>
      </dsp:nvSpPr>
      <dsp:spPr>
        <a:xfrm>
          <a:off x="6246525" y="0"/>
          <a:ext cx="3468127" cy="789212"/>
        </a:xfrm>
        <a:prstGeom prst="chevron">
          <a:avLst/>
        </a:prstGeom>
        <a:solidFill>
          <a:schemeClr val="accent4">
            <a:hueOff val="4900445"/>
            <a:satOff val="-20388"/>
            <a:lumOff val="480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2014" tIns="37338" rIns="37338" bIns="37338" numCol="1" spcCol="1270" anchor="ctr" anchorCtr="0">
          <a:noAutofit/>
        </a:bodyPr>
        <a:lstStyle/>
        <a:p>
          <a:pPr lvl="0" algn="ctr" defTabSz="1244600">
            <a:lnSpc>
              <a:spcPct val="90000"/>
            </a:lnSpc>
            <a:spcBef>
              <a:spcPct val="0"/>
            </a:spcBef>
            <a:spcAft>
              <a:spcPct val="35000"/>
            </a:spcAft>
          </a:pPr>
          <a:r>
            <a:rPr lang="fr-FR" sz="2800" kern="1200"/>
            <a:t>Distribution</a:t>
          </a:r>
        </a:p>
      </dsp:txBody>
      <dsp:txXfrm>
        <a:off x="6641131" y="0"/>
        <a:ext cx="2678915" cy="789212"/>
      </dsp:txXfrm>
    </dsp:sp>
    <dsp:sp modelId="{8D037B30-31E1-48C2-BF54-387CFA794C21}">
      <dsp:nvSpPr>
        <dsp:cNvPr id="0" name=""/>
        <dsp:cNvSpPr/>
      </dsp:nvSpPr>
      <dsp:spPr>
        <a:xfrm>
          <a:off x="9367839" y="0"/>
          <a:ext cx="3468127" cy="789212"/>
        </a:xfrm>
        <a:prstGeom prst="chevron">
          <a:avLst/>
        </a:prstGeom>
        <a:solidFill>
          <a:schemeClr val="accent4">
            <a:hueOff val="7350668"/>
            <a:satOff val="-30583"/>
            <a:lumOff val="7206"/>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2014" tIns="37338" rIns="37338" bIns="37338" numCol="1" spcCol="1270" anchor="ctr" anchorCtr="0">
          <a:noAutofit/>
        </a:bodyPr>
        <a:lstStyle/>
        <a:p>
          <a:pPr lvl="0" algn="ctr" defTabSz="1244600">
            <a:lnSpc>
              <a:spcPct val="90000"/>
            </a:lnSpc>
            <a:spcBef>
              <a:spcPct val="0"/>
            </a:spcBef>
            <a:spcAft>
              <a:spcPct val="35000"/>
            </a:spcAft>
          </a:pPr>
          <a:r>
            <a:rPr lang="fr-FR" sz="2800" kern="1200"/>
            <a:t>Consommation</a:t>
          </a:r>
        </a:p>
      </dsp:txBody>
      <dsp:txXfrm>
        <a:off x="9762445" y="0"/>
        <a:ext cx="2678915" cy="789212"/>
      </dsp:txXfrm>
    </dsp:sp>
    <dsp:sp modelId="{D44D6B43-48AC-4007-983D-66AC114103B1}">
      <dsp:nvSpPr>
        <dsp:cNvPr id="0" name=""/>
        <dsp:cNvSpPr/>
      </dsp:nvSpPr>
      <dsp:spPr>
        <a:xfrm>
          <a:off x="12489154" y="0"/>
          <a:ext cx="3468127" cy="789212"/>
        </a:xfrm>
        <a:prstGeom prst="chevron">
          <a:avLst/>
        </a:prstGeom>
        <a:solidFill>
          <a:schemeClr val="accent4">
            <a:hueOff val="9800891"/>
            <a:satOff val="-40777"/>
            <a:lumOff val="960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2014" tIns="37338" rIns="37338" bIns="37338" numCol="1" spcCol="1270" anchor="ctr" anchorCtr="0">
          <a:noAutofit/>
        </a:bodyPr>
        <a:lstStyle/>
        <a:p>
          <a:pPr lvl="0" algn="ctr" defTabSz="1244600">
            <a:lnSpc>
              <a:spcPct val="90000"/>
            </a:lnSpc>
            <a:spcBef>
              <a:spcPct val="0"/>
            </a:spcBef>
            <a:spcAft>
              <a:spcPct val="35000"/>
            </a:spcAft>
          </a:pPr>
          <a:r>
            <a:rPr lang="fr-FR" sz="2800" kern="1200"/>
            <a:t>Gestion fin de vie</a:t>
          </a:r>
        </a:p>
      </dsp:txBody>
      <dsp:txXfrm>
        <a:off x="12883760" y="0"/>
        <a:ext cx="2678915" cy="789212"/>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Layout" Target="../diagrams/layout2.xml"/><Relationship Id="rId2" Type="http://schemas.openxmlformats.org/officeDocument/2006/relationships/diagramData" Target="../diagrams/data2.xml"/><Relationship Id="rId1" Type="http://schemas.openxmlformats.org/officeDocument/2006/relationships/image" Target="../media/image1.emf"/><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_rels/drawing3.xml.rels><?xml version="1.0" encoding="UTF-8" standalone="yes"?>
<Relationships xmlns="http://schemas.openxmlformats.org/package/2006/relationships"><Relationship Id="rId8" Type="http://schemas.openxmlformats.org/officeDocument/2006/relationships/diagramLayout" Target="../diagrams/layout3.xml"/><Relationship Id="rId3" Type="http://schemas.openxmlformats.org/officeDocument/2006/relationships/image" Target="../media/image4.png"/><Relationship Id="rId7" Type="http://schemas.openxmlformats.org/officeDocument/2006/relationships/diagramData" Target="../diagrams/data3.xml"/><Relationship Id="rId2" Type="http://schemas.openxmlformats.org/officeDocument/2006/relationships/image" Target="../media/image3.png"/><Relationship Id="rId1" Type="http://schemas.openxmlformats.org/officeDocument/2006/relationships/image" Target="../media/image2.emf"/><Relationship Id="rId6" Type="http://schemas.openxmlformats.org/officeDocument/2006/relationships/image" Target="../media/image7.png"/><Relationship Id="rId11" Type="http://schemas.microsoft.com/office/2007/relationships/diagramDrawing" Target="../diagrams/drawing3.xml"/><Relationship Id="rId5" Type="http://schemas.openxmlformats.org/officeDocument/2006/relationships/image" Target="../media/image6.png"/><Relationship Id="rId10" Type="http://schemas.openxmlformats.org/officeDocument/2006/relationships/diagramColors" Target="../diagrams/colors3.xml"/><Relationship Id="rId4" Type="http://schemas.openxmlformats.org/officeDocument/2006/relationships/image" Target="../media/image5.png"/><Relationship Id="rId9" Type="http://schemas.openxmlformats.org/officeDocument/2006/relationships/diagramQuickStyle" Target="../diagrams/quickStyle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112059</xdr:colOff>
      <xdr:row>11</xdr:row>
      <xdr:rowOff>0</xdr:rowOff>
    </xdr:from>
    <xdr:to>
      <xdr:col>7</xdr:col>
      <xdr:colOff>145677</xdr:colOff>
      <xdr:row>16</xdr:row>
      <xdr:rowOff>62914</xdr:rowOff>
    </xdr:to>
    <xdr:graphicFrame macro="">
      <xdr:nvGraphicFramePr>
        <xdr:cNvPr id="2" name="Diagramme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774887</xdr:colOff>
      <xdr:row>14</xdr:row>
      <xdr:rowOff>968186</xdr:rowOff>
    </xdr:from>
    <xdr:to>
      <xdr:col>5</xdr:col>
      <xdr:colOff>1349189</xdr:colOff>
      <xdr:row>14</xdr:row>
      <xdr:rowOff>2892237</xdr:rowOff>
    </xdr:to>
    <xdr:pic>
      <xdr:nvPicPr>
        <xdr:cNvPr id="3" name="Imag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srcRect/>
        <a:stretch>
          <a:fillRect/>
        </a:stretch>
      </xdr:blipFill>
      <xdr:spPr bwMode="auto">
        <a:xfrm>
          <a:off x="2142005" y="3926539"/>
          <a:ext cx="6692713" cy="1924051"/>
        </a:xfrm>
        <a:prstGeom prst="rect">
          <a:avLst/>
        </a:prstGeom>
        <a:noFill/>
        <a:ln w="9525">
          <a:noFill/>
          <a:miter lim="800000"/>
          <a:headEnd/>
          <a:tailEnd/>
        </a:ln>
      </xdr:spPr>
    </xdr:pic>
    <xdr:clientData/>
  </xdr:twoCellAnchor>
  <xdr:twoCellAnchor>
    <xdr:from>
      <xdr:col>2</xdr:col>
      <xdr:colOff>66675</xdr:colOff>
      <xdr:row>14</xdr:row>
      <xdr:rowOff>2743200</xdr:rowOff>
    </xdr:from>
    <xdr:to>
      <xdr:col>7</xdr:col>
      <xdr:colOff>94690</xdr:colOff>
      <xdr:row>20</xdr:row>
      <xdr:rowOff>95411</xdr:rowOff>
    </xdr:to>
    <xdr:graphicFrame macro="">
      <xdr:nvGraphicFramePr>
        <xdr:cNvPr id="4" name="Diagramme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23820</xdr:colOff>
      <xdr:row>14</xdr:row>
      <xdr:rowOff>476249</xdr:rowOff>
    </xdr:from>
    <xdr:to>
      <xdr:col>3</xdr:col>
      <xdr:colOff>858950</xdr:colOff>
      <xdr:row>14</xdr:row>
      <xdr:rowOff>2690810</xdr:rowOff>
    </xdr:to>
    <xdr:pic>
      <xdr:nvPicPr>
        <xdr:cNvPr id="3" name="Imag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srcRect/>
        <a:stretch>
          <a:fillRect/>
        </a:stretch>
      </xdr:blipFill>
      <xdr:spPr bwMode="auto">
        <a:xfrm>
          <a:off x="785820" y="11201399"/>
          <a:ext cx="5431624" cy="2214561"/>
        </a:xfrm>
        <a:prstGeom prst="rect">
          <a:avLst/>
        </a:prstGeom>
        <a:noFill/>
        <a:ln w="9525">
          <a:noFill/>
          <a:miter lim="800000"/>
          <a:headEnd/>
          <a:tailEnd/>
        </a:ln>
      </xdr:spPr>
    </xdr:pic>
    <xdr:clientData/>
  </xdr:twoCellAnchor>
  <xdr:twoCellAnchor editAs="oneCell">
    <xdr:from>
      <xdr:col>3</xdr:col>
      <xdr:colOff>1750217</xdr:colOff>
      <xdr:row>3</xdr:row>
      <xdr:rowOff>18710</xdr:rowOff>
    </xdr:from>
    <xdr:to>
      <xdr:col>5</xdr:col>
      <xdr:colOff>248049</xdr:colOff>
      <xdr:row>3</xdr:row>
      <xdr:rowOff>2818087</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5156805" y="836739"/>
          <a:ext cx="4779530" cy="2799377"/>
        </a:xfrm>
        <a:prstGeom prst="rect">
          <a:avLst/>
        </a:prstGeom>
      </xdr:spPr>
    </xdr:pic>
    <xdr:clientData/>
  </xdr:twoCellAnchor>
  <xdr:twoCellAnchor editAs="oneCell">
    <xdr:from>
      <xdr:col>3</xdr:col>
      <xdr:colOff>1212741</xdr:colOff>
      <xdr:row>14</xdr:row>
      <xdr:rowOff>161583</xdr:rowOff>
    </xdr:from>
    <xdr:to>
      <xdr:col>4</xdr:col>
      <xdr:colOff>1083323</xdr:colOff>
      <xdr:row>14</xdr:row>
      <xdr:rowOff>3231685</xdr:rowOff>
    </xdr:to>
    <xdr:pic>
      <xdr:nvPicPr>
        <xdr:cNvPr id="5" name="Imag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stretch>
          <a:fillRect/>
        </a:stretch>
      </xdr:blipFill>
      <xdr:spPr>
        <a:xfrm>
          <a:off x="6206562" y="11020083"/>
          <a:ext cx="3013832" cy="3070102"/>
        </a:xfrm>
        <a:prstGeom prst="rect">
          <a:avLst/>
        </a:prstGeom>
      </xdr:spPr>
    </xdr:pic>
    <xdr:clientData/>
  </xdr:twoCellAnchor>
  <xdr:twoCellAnchor editAs="oneCell">
    <xdr:from>
      <xdr:col>4</xdr:col>
      <xdr:colOff>1059654</xdr:colOff>
      <xdr:row>14</xdr:row>
      <xdr:rowOff>184737</xdr:rowOff>
    </xdr:from>
    <xdr:to>
      <xdr:col>5</xdr:col>
      <xdr:colOff>577853</xdr:colOff>
      <xdr:row>14</xdr:row>
      <xdr:rowOff>3349046</xdr:rowOff>
    </xdr:to>
    <xdr:pic>
      <xdr:nvPicPr>
        <xdr:cNvPr id="6" name="Imag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4"/>
        <a:stretch>
          <a:fillRect/>
        </a:stretch>
      </xdr:blipFill>
      <xdr:spPr>
        <a:xfrm>
          <a:off x="9196725" y="11043237"/>
          <a:ext cx="2661449" cy="3164309"/>
        </a:xfrm>
        <a:prstGeom prst="rect">
          <a:avLst/>
        </a:prstGeom>
      </xdr:spPr>
    </xdr:pic>
    <xdr:clientData/>
  </xdr:twoCellAnchor>
  <xdr:twoCellAnchor editAs="oneCell">
    <xdr:from>
      <xdr:col>5</xdr:col>
      <xdr:colOff>1455965</xdr:colOff>
      <xdr:row>13</xdr:row>
      <xdr:rowOff>93758</xdr:rowOff>
    </xdr:from>
    <xdr:to>
      <xdr:col>6</xdr:col>
      <xdr:colOff>3062143</xdr:colOff>
      <xdr:row>14</xdr:row>
      <xdr:rowOff>3391655</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5"/>
        <a:stretch>
          <a:fillRect/>
        </a:stretch>
      </xdr:blipFill>
      <xdr:spPr>
        <a:xfrm>
          <a:off x="12736286" y="10761758"/>
          <a:ext cx="4749428" cy="3488397"/>
        </a:xfrm>
        <a:prstGeom prst="rect">
          <a:avLst/>
        </a:prstGeom>
      </xdr:spPr>
    </xdr:pic>
    <xdr:clientData/>
  </xdr:twoCellAnchor>
  <xdr:twoCellAnchor editAs="oneCell">
    <xdr:from>
      <xdr:col>5</xdr:col>
      <xdr:colOff>470648</xdr:colOff>
      <xdr:row>10</xdr:row>
      <xdr:rowOff>1814833</xdr:rowOff>
    </xdr:from>
    <xdr:to>
      <xdr:col>6</xdr:col>
      <xdr:colOff>2893011</xdr:colOff>
      <xdr:row>10</xdr:row>
      <xdr:rowOff>3896466</xdr:rowOff>
    </xdr:to>
    <xdr:pic>
      <xdr:nvPicPr>
        <xdr:cNvPr id="7" name="Imag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6"/>
        <a:stretch>
          <a:fillRect/>
        </a:stretch>
      </xdr:blipFill>
      <xdr:spPr>
        <a:xfrm>
          <a:off x="11777383" y="12292333"/>
          <a:ext cx="5571216" cy="2081633"/>
        </a:xfrm>
        <a:prstGeom prst="rect">
          <a:avLst/>
        </a:prstGeom>
      </xdr:spPr>
    </xdr:pic>
    <xdr:clientData/>
  </xdr:twoCellAnchor>
  <xdr:twoCellAnchor>
    <xdr:from>
      <xdr:col>2</xdr:col>
      <xdr:colOff>27216</xdr:colOff>
      <xdr:row>17</xdr:row>
      <xdr:rowOff>108857</xdr:rowOff>
    </xdr:from>
    <xdr:to>
      <xdr:col>7</xdr:col>
      <xdr:colOff>272144</xdr:colOff>
      <xdr:row>17</xdr:row>
      <xdr:rowOff>898070</xdr:rowOff>
    </xdr:to>
    <xdr:graphicFrame macro="">
      <xdr:nvGraphicFramePr>
        <xdr:cNvPr id="8" name="Diagramme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431765</xdr:colOff>
      <xdr:row>32</xdr:row>
      <xdr:rowOff>22952</xdr:rowOff>
    </xdr:from>
    <xdr:to>
      <xdr:col>10</xdr:col>
      <xdr:colOff>619700</xdr:colOff>
      <xdr:row>53</xdr:row>
      <xdr:rowOff>126235</xdr:rowOff>
    </xdr:to>
    <xdr:graphicFrame macro="">
      <xdr:nvGraphicFramePr>
        <xdr:cNvPr id="3" name="Graphique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ris\Dropbox%20(I%20Care%20&amp;%20Consult)\I%20Care\Projets\2017\ARAEE%20-%20Impact%20emploi%20TEPOS\2.%20Document%20de%20travail\1.%20Outil\ARAEE-ICARE%20-%20Impact%20emploi%20TEPOS%20-%20Outil%20-%20201711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ritzmpe\Local%20Settings\Temporary%20Internet%20Files\OLK6B\ESA95TP_Calculate_Codes_T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ableau de bord"/>
      <sheetName val="Résultats"/>
      <sheetName val="Action 1 - Réno Résidentiel"/>
      <sheetName val="Action 2 - Réno Tertiaire"/>
      <sheetName val="Action 3 - Centrale PV"/>
      <sheetName val="Action 4 - Solaire thermique"/>
      <sheetName val="Action 5 - Réseau de chaleur"/>
      <sheetName val="Action 6 - Méthanisation"/>
      <sheetName val="Action 7 - Voies cyclables"/>
      <sheetName val="Données Territoires"/>
      <sheetName val="Sources"/>
      <sheetName val="Bilan coûts"/>
      <sheetName val="CPX_Impact Dir."/>
      <sheetName val="CPX_Impact Ind."/>
      <sheetName val="OPX_Impact Dir."/>
      <sheetName val="OPX_Impact Ind."/>
      <sheetName val="Ratios - NAF niv. 5"/>
      <sheetName val="ESANE - 2014"/>
      <sheetName val="Comptes Nationaux - 2014"/>
      <sheetName val="Cpts Nat aggrégés CPA"/>
      <sheetName val="Matrices de Léontief"/>
      <sheetName val="CT nationaux 2010"/>
      <sheetName val="Répartition CI"/>
      <sheetName val="IOt domestic - Eurostat - 2010"/>
      <sheetName val="Matrices FLQ"/>
      <sheetName val="Emplois Territoires"/>
      <sheetName val="France_A88_2014"/>
      <sheetName val="AURA_A38_2014"/>
      <sheetName val="CLAP 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regiedequartier.org/" TargetMode="External"/><Relationship Id="rId13" Type="http://schemas.openxmlformats.org/officeDocument/2006/relationships/printerSettings" Target="../printerSettings/printerSettings13.bin"/><Relationship Id="rId3" Type="http://schemas.openxmlformats.org/officeDocument/2006/relationships/hyperlink" Target="http://www.ressourcerie.fr/" TargetMode="External"/><Relationship Id="rId7" Type="http://schemas.openxmlformats.org/officeDocument/2006/relationships/hyperlink" Target="http://www.maisondeserviceaupublic.fr/" TargetMode="External"/><Relationship Id="rId12" Type="http://schemas.openxmlformats.org/officeDocument/2006/relationships/hyperlink" Target="https://www.ademe.fr/avis-lademe-leconomie-fonctionnalite" TargetMode="External"/><Relationship Id="rId2" Type="http://schemas.openxmlformats.org/officeDocument/2006/relationships/hyperlink" Target="http://www.co-recyclage.com/" TargetMode="External"/><Relationship Id="rId1" Type="http://schemas.openxmlformats.org/officeDocument/2006/relationships/hyperlink" Target="https://www.ademe.fr/aeu2-approche-cout-global-projets-damenagement-l" TargetMode="External"/><Relationship Id="rId6" Type="http://schemas.openxmlformats.org/officeDocument/2006/relationships/hyperlink" Target="http://www.consiergerie-solidaire.fr/" TargetMode="External"/><Relationship Id="rId11" Type="http://schemas.openxmlformats.org/officeDocument/2006/relationships/hyperlink" Target="https://www.youtube.com/watch?v=Xj5TR54qvwk" TargetMode="External"/><Relationship Id="rId5" Type="http://schemas.openxmlformats.org/officeDocument/2006/relationships/hyperlink" Target="http://www.crepe-efc.com/fr/" TargetMode="External"/><Relationship Id="rId10" Type="http://schemas.openxmlformats.org/officeDocument/2006/relationships/hyperlink" Target="https://www.youtube.com/watch?v=y8d5nw27owM" TargetMode="External"/><Relationship Id="rId4" Type="http://schemas.openxmlformats.org/officeDocument/2006/relationships/hyperlink" Target="http://www.statistiques.developpement-durable.gouv.fr/transports/r/transport-marchandises-tous-modes.html?cHash=fb157fb9919ca2e7154d45fd6ff86f66&amp;tx_ttnews%5btt_news%5d=20519" TargetMode="External"/><Relationship Id="rId9" Type="http://schemas.openxmlformats.org/officeDocument/2006/relationships/hyperlink" Target="https://www.ademe.fr/sites/default/files/assets/documents/achats-responsables-et-ecolabel-europeen_010324.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jle.com/fr/revues/ers/e-docs/gestion_des_dechets_menagers_et_assimiles_bilan_des_connaissances_et_evaluation_des_effets_sanitaires_en_population_generale_et_au_travail_293226/article.phtml?tab=texte"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topLeftCell="A31" zoomScale="76" workbookViewId="0">
      <selection activeCell="E63" sqref="E63"/>
    </sheetView>
  </sheetViews>
  <sheetFormatPr baseColWidth="10" defaultColWidth="11.42578125" defaultRowHeight="15" x14ac:dyDescent="0.25"/>
  <cols>
    <col min="1" max="1" width="3.42578125" customWidth="1"/>
    <col min="2" max="2" width="4.140625" customWidth="1"/>
    <col min="3" max="3" width="18" customWidth="1"/>
    <col min="4" max="4" width="49.140625" customWidth="1"/>
    <col min="5" max="5" width="40.140625" customWidth="1"/>
    <col min="6" max="6" width="84.7109375" customWidth="1"/>
    <col min="7" max="7" width="3.140625" customWidth="1"/>
  </cols>
  <sheetData>
    <row r="1" spans="2:7" ht="12" customHeight="1" thickBot="1" x14ac:dyDescent="0.3"/>
    <row r="2" spans="2:7" ht="39" customHeight="1" x14ac:dyDescent="0.25">
      <c r="B2" s="824" t="s">
        <v>397</v>
      </c>
      <c r="C2" s="817"/>
      <c r="D2" s="817"/>
      <c r="E2" s="817"/>
      <c r="F2" s="817"/>
      <c r="G2" s="818"/>
    </row>
    <row r="3" spans="2:7" x14ac:dyDescent="0.25">
      <c r="B3" s="23"/>
      <c r="C3" s="24"/>
      <c r="D3" s="24"/>
      <c r="E3" s="24"/>
      <c r="F3" s="24"/>
      <c r="G3" s="25"/>
    </row>
    <row r="4" spans="2:7" x14ac:dyDescent="0.25">
      <c r="B4" s="26" t="s">
        <v>0</v>
      </c>
      <c r="C4" s="27"/>
      <c r="D4" s="27"/>
      <c r="E4" s="27"/>
      <c r="F4" s="27"/>
      <c r="G4" s="28"/>
    </row>
    <row r="5" spans="2:7" x14ac:dyDescent="0.25">
      <c r="B5" s="29"/>
      <c r="C5" s="821" t="s">
        <v>899</v>
      </c>
      <c r="D5" s="821"/>
      <c r="E5" s="821"/>
      <c r="F5" s="821"/>
      <c r="G5" s="825"/>
    </row>
    <row r="6" spans="2:7" x14ac:dyDescent="0.25">
      <c r="B6" s="29"/>
      <c r="C6" s="826"/>
      <c r="D6" s="826"/>
      <c r="E6" s="826"/>
      <c r="F6" s="826"/>
      <c r="G6" s="825"/>
    </row>
    <row r="7" spans="2:7" x14ac:dyDescent="0.25">
      <c r="B7" s="23"/>
      <c r="C7" s="24"/>
      <c r="D7" s="24"/>
      <c r="E7" s="24"/>
      <c r="F7" s="24"/>
      <c r="G7" s="25"/>
    </row>
    <row r="8" spans="2:7" x14ac:dyDescent="0.25">
      <c r="B8" s="26" t="s">
        <v>1</v>
      </c>
      <c r="C8" s="27"/>
      <c r="D8" s="27"/>
      <c r="E8" s="27"/>
      <c r="F8" s="27"/>
      <c r="G8" s="28"/>
    </row>
    <row r="9" spans="2:7" ht="48" customHeight="1" x14ac:dyDescent="0.25">
      <c r="B9" s="29"/>
      <c r="C9" s="821" t="s">
        <v>953</v>
      </c>
      <c r="D9" s="821"/>
      <c r="E9" s="821"/>
      <c r="F9" s="821"/>
      <c r="G9" s="827"/>
    </row>
    <row r="10" spans="2:7" x14ac:dyDescent="0.25">
      <c r="B10" s="23"/>
      <c r="C10" s="24"/>
      <c r="D10" s="24"/>
      <c r="E10" s="24"/>
      <c r="F10" s="24"/>
      <c r="G10" s="25"/>
    </row>
    <row r="11" spans="2:7" x14ac:dyDescent="0.25">
      <c r="B11" s="26" t="s">
        <v>2</v>
      </c>
      <c r="C11" s="27"/>
      <c r="D11" s="27"/>
      <c r="E11" s="27"/>
      <c r="F11" s="27"/>
      <c r="G11" s="28"/>
    </row>
    <row r="12" spans="2:7" ht="26.25" customHeight="1" x14ac:dyDescent="0.25">
      <c r="B12" s="29"/>
      <c r="C12" s="821" t="s">
        <v>900</v>
      </c>
      <c r="D12" s="821"/>
      <c r="E12" s="821"/>
      <c r="F12" s="821"/>
      <c r="G12" s="827"/>
    </row>
    <row r="13" spans="2:7" ht="41.25" customHeight="1" x14ac:dyDescent="0.25">
      <c r="B13" s="29"/>
      <c r="C13" s="821" t="s">
        <v>897</v>
      </c>
      <c r="D13" s="821"/>
      <c r="E13" s="821"/>
      <c r="F13" s="821"/>
      <c r="G13" s="827"/>
    </row>
    <row r="14" spans="2:7" x14ac:dyDescent="0.25">
      <c r="B14" s="29"/>
      <c r="C14" s="831" t="s">
        <v>914</v>
      </c>
      <c r="D14" s="831"/>
      <c r="E14" s="831"/>
      <c r="F14" s="831"/>
      <c r="G14" s="832"/>
    </row>
    <row r="15" spans="2:7" ht="15" customHeight="1" x14ac:dyDescent="0.25">
      <c r="B15" s="29"/>
      <c r="D15" s="831" t="s">
        <v>3</v>
      </c>
      <c r="E15" s="831"/>
      <c r="F15" s="831"/>
      <c r="G15" s="832"/>
    </row>
    <row r="16" spans="2:7" x14ac:dyDescent="0.25">
      <c r="B16" s="29"/>
      <c r="C16" s="102"/>
      <c r="D16" s="831" t="s">
        <v>4</v>
      </c>
      <c r="E16" s="831"/>
      <c r="F16" s="831"/>
      <c r="G16" s="832"/>
    </row>
    <row r="17" spans="2:7" ht="24.75" customHeight="1" x14ac:dyDescent="0.25">
      <c r="B17" s="29"/>
      <c r="C17" s="102"/>
      <c r="D17" s="831" t="s">
        <v>5</v>
      </c>
      <c r="E17" s="831"/>
      <c r="F17" s="831"/>
      <c r="G17" s="832"/>
    </row>
    <row r="18" spans="2:7" ht="38.25" customHeight="1" x14ac:dyDescent="0.25">
      <c r="B18" s="29"/>
      <c r="C18" s="831" t="s">
        <v>901</v>
      </c>
      <c r="D18" s="831"/>
      <c r="E18" s="831"/>
      <c r="F18" s="831"/>
      <c r="G18" s="832"/>
    </row>
    <row r="19" spans="2:7" ht="37.5" customHeight="1" x14ac:dyDescent="0.25">
      <c r="B19" s="29"/>
      <c r="C19" s="831" t="s">
        <v>904</v>
      </c>
      <c r="D19" s="831"/>
      <c r="E19" s="831"/>
      <c r="F19" s="831"/>
      <c r="G19" s="832"/>
    </row>
    <row r="20" spans="2:7" ht="32.25" customHeight="1" x14ac:dyDescent="0.25">
      <c r="B20" s="29"/>
      <c r="C20" s="821" t="s">
        <v>952</v>
      </c>
      <c r="D20" s="821"/>
      <c r="E20" s="821"/>
      <c r="F20" s="821"/>
      <c r="G20" s="822"/>
    </row>
    <row r="21" spans="2:7" x14ac:dyDescent="0.25">
      <c r="B21" s="30"/>
      <c r="D21" s="31"/>
      <c r="E21" s="31"/>
      <c r="F21" s="31"/>
      <c r="G21" s="32"/>
    </row>
    <row r="22" spans="2:7" x14ac:dyDescent="0.25">
      <c r="B22" s="828" t="s">
        <v>6</v>
      </c>
      <c r="C22" s="829"/>
      <c r="D22" s="829"/>
      <c r="E22" s="829"/>
      <c r="F22" s="829"/>
      <c r="G22" s="830"/>
    </row>
    <row r="23" spans="2:7" x14ac:dyDescent="0.25">
      <c r="B23" s="33"/>
      <c r="C23" s="34"/>
      <c r="D23" s="34"/>
      <c r="E23" s="34"/>
      <c r="F23" s="34"/>
      <c r="G23" s="35"/>
    </row>
    <row r="24" spans="2:7" x14ac:dyDescent="0.25">
      <c r="B24" s="33"/>
      <c r="C24" s="36" t="s">
        <v>7</v>
      </c>
      <c r="D24" s="36" t="s">
        <v>8</v>
      </c>
      <c r="E24" s="36" t="s">
        <v>9</v>
      </c>
      <c r="F24" s="36" t="s">
        <v>10</v>
      </c>
      <c r="G24" s="35"/>
    </row>
    <row r="25" spans="2:7" x14ac:dyDescent="0.25">
      <c r="B25" s="33"/>
      <c r="C25" s="819" t="s">
        <v>11</v>
      </c>
      <c r="D25" s="820"/>
      <c r="E25" s="506" t="s">
        <v>12</v>
      </c>
      <c r="F25" s="217" t="s">
        <v>13</v>
      </c>
      <c r="G25" s="35"/>
    </row>
    <row r="26" spans="2:7" x14ac:dyDescent="0.25">
      <c r="B26" s="33"/>
      <c r="C26" s="819"/>
      <c r="D26" s="820"/>
      <c r="E26" s="506" t="s">
        <v>14</v>
      </c>
      <c r="F26" s="217" t="s">
        <v>15</v>
      </c>
      <c r="G26" s="35"/>
    </row>
    <row r="27" spans="2:7" x14ac:dyDescent="0.25">
      <c r="B27" s="33"/>
      <c r="C27" s="819"/>
      <c r="D27" s="820"/>
      <c r="E27" s="506" t="s">
        <v>16</v>
      </c>
      <c r="F27" s="217" t="s">
        <v>17</v>
      </c>
      <c r="G27" s="35"/>
    </row>
    <row r="28" spans="2:7" x14ac:dyDescent="0.25">
      <c r="B28" s="33"/>
      <c r="C28" s="819"/>
      <c r="D28" s="820"/>
      <c r="E28" s="506" t="s">
        <v>18</v>
      </c>
      <c r="F28" s="217" t="s">
        <v>19</v>
      </c>
      <c r="G28" s="35"/>
    </row>
    <row r="29" spans="2:7" x14ac:dyDescent="0.25">
      <c r="B29" s="33"/>
      <c r="C29" s="819"/>
      <c r="D29" s="820"/>
      <c r="E29" s="506" t="s">
        <v>20</v>
      </c>
      <c r="F29" s="217" t="s">
        <v>21</v>
      </c>
      <c r="G29" s="35"/>
    </row>
    <row r="30" spans="2:7" ht="25.5" x14ac:dyDescent="0.25">
      <c r="B30" s="33"/>
      <c r="C30" s="209" t="s">
        <v>22</v>
      </c>
      <c r="D30" s="220" t="s">
        <v>23</v>
      </c>
      <c r="E30" s="507" t="s">
        <v>24</v>
      </c>
      <c r="F30" s="210" t="s">
        <v>25</v>
      </c>
      <c r="G30" s="35"/>
    </row>
    <row r="31" spans="2:7" x14ac:dyDescent="0.25">
      <c r="B31" s="33"/>
      <c r="C31" s="218" t="s">
        <v>26</v>
      </c>
      <c r="D31" s="221"/>
      <c r="E31" s="508" t="s">
        <v>398</v>
      </c>
      <c r="F31" s="222" t="s">
        <v>27</v>
      </c>
      <c r="G31" s="35"/>
    </row>
    <row r="32" spans="2:7" x14ac:dyDescent="0.25">
      <c r="B32" s="33"/>
      <c r="C32" s="219" t="s">
        <v>28</v>
      </c>
      <c r="D32" s="223"/>
      <c r="E32" s="509" t="s">
        <v>29</v>
      </c>
      <c r="F32" s="224" t="s">
        <v>30</v>
      </c>
      <c r="G32" s="35"/>
    </row>
    <row r="33" spans="2:13" x14ac:dyDescent="0.25">
      <c r="B33" s="33"/>
      <c r="C33" s="211" t="s">
        <v>31</v>
      </c>
      <c r="D33" s="246"/>
      <c r="E33" s="510" t="s">
        <v>524</v>
      </c>
      <c r="F33" s="247" t="s">
        <v>525</v>
      </c>
      <c r="G33" s="35"/>
    </row>
    <row r="34" spans="2:13" x14ac:dyDescent="0.25">
      <c r="B34" s="33"/>
      <c r="C34" s="211" t="s">
        <v>31</v>
      </c>
      <c r="D34" s="212"/>
      <c r="E34" s="510" t="s">
        <v>32</v>
      </c>
      <c r="F34" s="213" t="s">
        <v>33</v>
      </c>
      <c r="G34" s="35"/>
    </row>
    <row r="35" spans="2:13" ht="25.5" x14ac:dyDescent="0.25">
      <c r="B35" s="33"/>
      <c r="C35" s="214" t="s">
        <v>34</v>
      </c>
      <c r="D35" s="215"/>
      <c r="E35" s="511" t="s">
        <v>35</v>
      </c>
      <c r="F35" s="216" t="s">
        <v>903</v>
      </c>
      <c r="G35" s="35"/>
    </row>
    <row r="36" spans="2:13" x14ac:dyDescent="0.25">
      <c r="B36" s="33"/>
      <c r="C36" s="240" t="s">
        <v>399</v>
      </c>
      <c r="D36" s="241"/>
      <c r="E36" s="512" t="s">
        <v>400</v>
      </c>
      <c r="F36" s="242" t="s">
        <v>401</v>
      </c>
      <c r="G36" s="35"/>
    </row>
    <row r="37" spans="2:13" ht="15.75" thickBot="1" x14ac:dyDescent="0.3">
      <c r="B37" s="37"/>
      <c r="C37" s="38"/>
      <c r="D37" s="38"/>
      <c r="E37" s="38"/>
      <c r="F37" s="38"/>
      <c r="G37" s="39"/>
    </row>
    <row r="38" spans="2:13" ht="15.75" thickBot="1" x14ac:dyDescent="0.3"/>
    <row r="39" spans="2:13" ht="21" x14ac:dyDescent="0.25">
      <c r="B39" s="816" t="s">
        <v>36</v>
      </c>
      <c r="C39" s="817"/>
      <c r="D39" s="817"/>
      <c r="E39" s="817"/>
      <c r="F39" s="817"/>
      <c r="G39" s="818"/>
    </row>
    <row r="40" spans="2:13" x14ac:dyDescent="0.25">
      <c r="B40" s="40"/>
      <c r="G40" s="41"/>
    </row>
    <row r="41" spans="2:13" x14ac:dyDescent="0.25">
      <c r="B41" s="40"/>
      <c r="C41" t="s">
        <v>37</v>
      </c>
      <c r="E41" s="503"/>
      <c r="F41" s="45" t="s">
        <v>951</v>
      </c>
      <c r="G41" s="41"/>
    </row>
    <row r="42" spans="2:13" ht="9" customHeight="1" x14ac:dyDescent="0.25">
      <c r="B42" s="40"/>
      <c r="E42" s="48"/>
      <c r="F42" s="45"/>
      <c r="G42" s="41"/>
    </row>
    <row r="43" spans="2:13" x14ac:dyDescent="0.25">
      <c r="B43" s="40"/>
      <c r="C43" t="s">
        <v>909</v>
      </c>
      <c r="E43" s="503" t="s">
        <v>409</v>
      </c>
      <c r="F43" s="46" t="s">
        <v>38</v>
      </c>
      <c r="G43" s="41"/>
    </row>
    <row r="44" spans="2:13" ht="9" customHeight="1" x14ac:dyDescent="0.25">
      <c r="B44" s="40"/>
      <c r="E44" s="48"/>
      <c r="F44" s="45"/>
      <c r="G44" s="41"/>
    </row>
    <row r="45" spans="2:13" x14ac:dyDescent="0.25">
      <c r="B45" s="40"/>
      <c r="C45" t="s">
        <v>910</v>
      </c>
      <c r="E45" s="503" t="s">
        <v>409</v>
      </c>
      <c r="F45" s="46" t="s">
        <v>38</v>
      </c>
      <c r="G45" s="41"/>
    </row>
    <row r="46" spans="2:13" ht="9" customHeight="1" x14ac:dyDescent="0.25">
      <c r="B46" s="40"/>
      <c r="E46" s="48"/>
      <c r="F46" s="45"/>
      <c r="G46" s="41"/>
    </row>
    <row r="47" spans="2:13" ht="15" customHeight="1" x14ac:dyDescent="0.25">
      <c r="B47" s="40"/>
      <c r="C47" t="s">
        <v>39</v>
      </c>
      <c r="E47" s="504">
        <v>27</v>
      </c>
      <c r="F47" s="45"/>
      <c r="G47" s="41"/>
      <c r="M47" s="404" t="s">
        <v>42</v>
      </c>
    </row>
    <row r="48" spans="2:13" ht="9" customHeight="1" x14ac:dyDescent="0.25">
      <c r="B48" s="40"/>
      <c r="E48" s="100"/>
      <c r="F48" s="45"/>
      <c r="G48" s="41"/>
      <c r="M48" s="404" t="s">
        <v>44</v>
      </c>
    </row>
    <row r="49" spans="2:13" ht="15" customHeight="1" x14ac:dyDescent="0.25">
      <c r="B49" s="40"/>
      <c r="C49" t="s">
        <v>41</v>
      </c>
      <c r="E49" s="504">
        <v>203500</v>
      </c>
      <c r="F49" s="45"/>
      <c r="G49" s="41"/>
      <c r="M49" s="404" t="s">
        <v>45</v>
      </c>
    </row>
    <row r="50" spans="2:13" ht="9" customHeight="1" x14ac:dyDescent="0.25">
      <c r="B50" s="40"/>
      <c r="E50" s="49"/>
      <c r="G50" s="41"/>
      <c r="M50" s="404" t="s">
        <v>46</v>
      </c>
    </row>
    <row r="51" spans="2:13" x14ac:dyDescent="0.25">
      <c r="B51" s="40"/>
      <c r="C51" t="s">
        <v>958</v>
      </c>
      <c r="E51" s="503" t="s">
        <v>45</v>
      </c>
      <c r="F51" s="269" t="s">
        <v>946</v>
      </c>
      <c r="G51" s="41"/>
    </row>
    <row r="52" spans="2:13" x14ac:dyDescent="0.25">
      <c r="B52" s="40"/>
      <c r="C52" t="s">
        <v>43</v>
      </c>
      <c r="E52" s="503" t="s">
        <v>619</v>
      </c>
      <c r="F52" s="46"/>
      <c r="G52" s="41"/>
    </row>
    <row r="53" spans="2:13" x14ac:dyDescent="0.25">
      <c r="B53" s="40"/>
      <c r="E53" s="503"/>
      <c r="F53" s="46"/>
      <c r="G53" s="41"/>
    </row>
    <row r="54" spans="2:13" x14ac:dyDescent="0.25">
      <c r="B54" s="40"/>
      <c r="E54" s="503"/>
      <c r="F54" s="46"/>
      <c r="G54" s="41"/>
    </row>
    <row r="55" spans="2:13" x14ac:dyDescent="0.25">
      <c r="B55" s="40"/>
      <c r="E55" s="503"/>
      <c r="G55" s="41"/>
    </row>
    <row r="56" spans="2:13" ht="9" customHeight="1" x14ac:dyDescent="0.25">
      <c r="B56" s="40"/>
      <c r="E56" s="49"/>
      <c r="G56" s="41"/>
    </row>
    <row r="57" spans="2:13" ht="28.5" customHeight="1" x14ac:dyDescent="0.25">
      <c r="B57" s="40"/>
      <c r="C57" s="833" t="s">
        <v>47</v>
      </c>
      <c r="D57" s="833"/>
      <c r="E57" s="503"/>
      <c r="G57" s="41"/>
    </row>
    <row r="58" spans="2:13" ht="9" customHeight="1" x14ac:dyDescent="0.25">
      <c r="B58" s="40"/>
      <c r="E58" s="49"/>
      <c r="G58" s="41"/>
    </row>
    <row r="59" spans="2:13" ht="28.5" customHeight="1" x14ac:dyDescent="0.25">
      <c r="B59" s="40"/>
      <c r="C59" s="833" t="s">
        <v>912</v>
      </c>
      <c r="D59" s="833"/>
      <c r="E59" s="503" t="s">
        <v>890</v>
      </c>
      <c r="F59" s="269" t="s">
        <v>38</v>
      </c>
      <c r="G59" s="41"/>
    </row>
    <row r="60" spans="2:13" ht="9" customHeight="1" x14ac:dyDescent="0.25">
      <c r="B60" s="40"/>
      <c r="E60" s="49"/>
      <c r="G60" s="41"/>
    </row>
    <row r="61" spans="2:13" ht="26.25" customHeight="1" x14ac:dyDescent="0.25">
      <c r="B61" s="40"/>
      <c r="C61" s="833" t="s">
        <v>913</v>
      </c>
      <c r="D61" s="833"/>
      <c r="E61" s="503" t="s">
        <v>409</v>
      </c>
      <c r="F61" s="269" t="s">
        <v>38</v>
      </c>
      <c r="G61" s="41"/>
    </row>
    <row r="62" spans="2:13" s="244" customFormat="1" ht="9" customHeight="1" x14ac:dyDescent="0.25">
      <c r="B62" s="812"/>
      <c r="C62" s="813"/>
      <c r="D62" s="813"/>
      <c r="E62" s="814"/>
      <c r="F62" s="269"/>
      <c r="G62" s="815"/>
    </row>
    <row r="63" spans="2:13" ht="26.25" customHeight="1" x14ac:dyDescent="0.25">
      <c r="B63" s="40"/>
      <c r="C63" s="823" t="s">
        <v>954</v>
      </c>
      <c r="D63" s="823"/>
      <c r="E63" s="503" t="s">
        <v>409</v>
      </c>
      <c r="F63" s="269" t="s">
        <v>38</v>
      </c>
      <c r="G63" s="41"/>
    </row>
    <row r="64" spans="2:13" ht="15.75" thickBot="1" x14ac:dyDescent="0.3">
      <c r="B64" s="42"/>
      <c r="C64" s="514" t="s">
        <v>911</v>
      </c>
      <c r="D64" s="43"/>
      <c r="E64" s="43"/>
      <c r="F64" s="43"/>
      <c r="G64" s="44"/>
    </row>
    <row r="68" spans="3:5" hidden="1" x14ac:dyDescent="0.25">
      <c r="C68" t="s">
        <v>48</v>
      </c>
      <c r="D68">
        <v>298</v>
      </c>
      <c r="E68" t="s">
        <v>49</v>
      </c>
    </row>
    <row r="69" spans="3:5" hidden="1" x14ac:dyDescent="0.25">
      <c r="C69" t="s">
        <v>50</v>
      </c>
      <c r="D69">
        <v>466</v>
      </c>
      <c r="E69" t="s">
        <v>49</v>
      </c>
    </row>
    <row r="70" spans="3:5" hidden="1" x14ac:dyDescent="0.25">
      <c r="C70" t="s">
        <v>51</v>
      </c>
      <c r="D70">
        <v>503</v>
      </c>
      <c r="E70" t="s">
        <v>49</v>
      </c>
    </row>
    <row r="71" spans="3:5" hidden="1" x14ac:dyDescent="0.25">
      <c r="C71" t="s">
        <v>52</v>
      </c>
      <c r="D71">
        <v>355</v>
      </c>
      <c r="E71" t="s">
        <v>49</v>
      </c>
    </row>
    <row r="72" spans="3:5" hidden="1" x14ac:dyDescent="0.25">
      <c r="C72" t="s">
        <v>53</v>
      </c>
      <c r="D72">
        <v>150</v>
      </c>
      <c r="E72" t="s">
        <v>49</v>
      </c>
    </row>
    <row r="73" spans="3:5" hidden="1" x14ac:dyDescent="0.25">
      <c r="C73" t="s">
        <v>54</v>
      </c>
      <c r="D73">
        <v>409</v>
      </c>
      <c r="E73" t="s">
        <v>49</v>
      </c>
    </row>
    <row r="74" spans="3:5" hidden="1" x14ac:dyDescent="0.25">
      <c r="C74" t="s">
        <v>55</v>
      </c>
      <c r="D74">
        <v>543</v>
      </c>
      <c r="E74" t="s">
        <v>49</v>
      </c>
    </row>
    <row r="75" spans="3:5" hidden="1" x14ac:dyDescent="0.25">
      <c r="C75" t="s">
        <v>56</v>
      </c>
      <c r="D75">
        <v>202</v>
      </c>
      <c r="E75" t="s">
        <v>49</v>
      </c>
    </row>
    <row r="76" spans="3:5" hidden="1" x14ac:dyDescent="0.25">
      <c r="D76">
        <f>SUM(D68:D75)*2</f>
        <v>5852</v>
      </c>
      <c r="E76" t="s">
        <v>57</v>
      </c>
    </row>
    <row r="77" spans="3:5" hidden="1" x14ac:dyDescent="0.25"/>
  </sheetData>
  <sheetProtection algorithmName="SHA-512" hashValue="MGLGzEaDesvOw+dgSRfzxztIvhFI+BD3ctrTJk6je1YbD8rLJoUyMKrrvIqboqcFXktIDeQ46T8P3xWfZsDRCQ==" saltValue="d4boBi83xxOWZTTqAyG6Sg==" spinCount="100000" sheet="1" selectLockedCells="1"/>
  <mergeCells count="20">
    <mergeCell ref="B2:G2"/>
    <mergeCell ref="C5:G6"/>
    <mergeCell ref="C9:G9"/>
    <mergeCell ref="C13:G13"/>
    <mergeCell ref="B22:G22"/>
    <mergeCell ref="C14:G14"/>
    <mergeCell ref="C18:G18"/>
    <mergeCell ref="D15:G15"/>
    <mergeCell ref="D16:G16"/>
    <mergeCell ref="D17:G17"/>
    <mergeCell ref="C12:G12"/>
    <mergeCell ref="C19:G19"/>
    <mergeCell ref="B39:G39"/>
    <mergeCell ref="C25:C29"/>
    <mergeCell ref="D25:D29"/>
    <mergeCell ref="C20:G20"/>
    <mergeCell ref="C63:D63"/>
    <mergeCell ref="C59:D59"/>
    <mergeCell ref="C61:D61"/>
    <mergeCell ref="C57:D57"/>
  </mergeCells>
  <conditionalFormatting sqref="H71:I78">
    <cfRule type="expression" priority="1">
      <formula>ISBLANK($E$55)</formula>
    </cfRule>
  </conditionalFormatting>
  <dataValidations count="2">
    <dataValidation type="list" showInputMessage="1" showErrorMessage="1" sqref="E51:E55">
      <formula1>"Unité de méthanisation,Incinérateur,Stockage,Unité de tri et/ou de démantèlement, Unité de compostage"</formula1>
    </dataValidation>
    <dataValidation type="list" allowBlank="1" showInputMessage="1" showErrorMessage="1" sqref="E43 E45 E59 E61:E63">
      <formula1>"Oui,Non"</formula1>
    </dataValidation>
  </dataValidations>
  <hyperlinks>
    <hyperlink ref="E25" location="'Axe 1'!A1" display="Axe 1"/>
    <hyperlink ref="E26" location="'Axe 2'!A1" display="Axe 2"/>
    <hyperlink ref="E27" location="'Axe 3'!A1" display="Axe 3"/>
    <hyperlink ref="E28" location="'Axe 4'!A1" display="Axe 4"/>
    <hyperlink ref="E29" location="'Axe 5'!A1" display="Axe 5"/>
    <hyperlink ref="E30" location="'trame filière'!A1" display="Trame filière"/>
    <hyperlink ref="E32" location="Alimentation!A1" display="Alimentation"/>
    <hyperlink ref="E31" location="'(Dé)Construction et aménagement'!A1" display="(Dé)construction et aménagement"/>
    <hyperlink ref="E34" location="'Note finale'!A1" display="Note finale"/>
    <hyperlink ref="E35" location="Règlementation!A1" display="Règlementation"/>
    <hyperlink ref="E36" location="'Pour en savoir +'!A1" display="Pour en savoir +"/>
    <hyperlink ref="E33" location="'Tableau des indicateurs'!A1" display="Tableau des indicateurs"/>
  </hyperlinks>
  <pageMargins left="0.7" right="0.7" top="0.75" bottom="0.75" header="0.3" footer="0.3"/>
  <pageSetup paperSize="8"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36"/>
  <sheetViews>
    <sheetView showGridLines="0" topLeftCell="A4" zoomScale="80" zoomScaleNormal="80" workbookViewId="0"/>
  </sheetViews>
  <sheetFormatPr baseColWidth="10" defaultColWidth="11.42578125" defaultRowHeight="15" x14ac:dyDescent="0.25"/>
  <cols>
    <col min="1" max="1" width="2.42578125" customWidth="1"/>
    <col min="2" max="2" width="21.7109375" customWidth="1"/>
    <col min="3" max="7" width="47.140625" customWidth="1"/>
  </cols>
  <sheetData>
    <row r="1" spans="2:8" ht="34.5" customHeight="1" x14ac:dyDescent="0.25">
      <c r="B1" s="926" t="s">
        <v>264</v>
      </c>
      <c r="C1" s="927"/>
      <c r="D1" s="927"/>
      <c r="E1" s="927"/>
      <c r="F1" s="927"/>
      <c r="G1" s="927"/>
      <c r="H1" s="156"/>
    </row>
    <row r="3" spans="2:8" x14ac:dyDescent="0.25">
      <c r="B3" s="919" t="s">
        <v>217</v>
      </c>
      <c r="C3" s="920"/>
      <c r="D3" s="920"/>
      <c r="E3" s="920"/>
      <c r="F3" s="920"/>
      <c r="G3" s="921"/>
      <c r="H3" s="156"/>
    </row>
    <row r="4" spans="2:8" ht="270.75" customHeight="1" x14ac:dyDescent="0.25">
      <c r="B4" s="963" t="s">
        <v>265</v>
      </c>
      <c r="C4" s="964"/>
      <c r="D4" s="964"/>
      <c r="E4" s="964"/>
      <c r="F4" s="964"/>
      <c r="G4" s="965"/>
    </row>
    <row r="6" spans="2:8" x14ac:dyDescent="0.25">
      <c r="B6" s="919" t="s">
        <v>219</v>
      </c>
      <c r="C6" s="920"/>
      <c r="D6" s="920"/>
      <c r="E6" s="920"/>
      <c r="F6" s="920"/>
      <c r="G6" s="921"/>
    </row>
    <row r="7" spans="2:8" ht="315.75" customHeight="1" x14ac:dyDescent="0.25">
      <c r="B7" s="978" t="s">
        <v>630</v>
      </c>
      <c r="C7" s="967"/>
      <c r="D7" s="967"/>
      <c r="E7" s="967"/>
      <c r="F7" s="967"/>
      <c r="G7" s="968"/>
    </row>
    <row r="8" spans="2:8" x14ac:dyDescent="0.25">
      <c r="B8" s="157"/>
      <c r="C8" s="157"/>
      <c r="D8" s="157"/>
      <c r="E8" s="157"/>
      <c r="F8" s="157"/>
      <c r="G8" s="157"/>
    </row>
    <row r="9" spans="2:8" x14ac:dyDescent="0.25">
      <c r="B9" s="928" t="s">
        <v>220</v>
      </c>
      <c r="C9" s="929"/>
      <c r="D9" s="929"/>
      <c r="E9" s="929"/>
      <c r="F9" s="929"/>
      <c r="G9" s="930"/>
    </row>
    <row r="10" spans="2:8" ht="114" customHeight="1" x14ac:dyDescent="0.25">
      <c r="B10" s="979" t="s">
        <v>650</v>
      </c>
      <c r="C10" s="980"/>
      <c r="D10" s="980"/>
      <c r="E10" s="980"/>
      <c r="F10" s="980"/>
      <c r="G10" s="981"/>
    </row>
    <row r="11" spans="2:8" ht="409.5" customHeight="1" x14ac:dyDescent="0.25">
      <c r="B11" s="982" t="s">
        <v>649</v>
      </c>
      <c r="C11" s="983"/>
      <c r="D11" s="983"/>
      <c r="E11" s="983"/>
      <c r="F11" s="290"/>
      <c r="G11" s="291"/>
    </row>
    <row r="12" spans="2:8" ht="150.75" customHeight="1" x14ac:dyDescent="0.25">
      <c r="B12" s="978" t="s">
        <v>661</v>
      </c>
      <c r="C12" s="984"/>
      <c r="D12" s="984"/>
      <c r="E12" s="984"/>
      <c r="F12" s="984"/>
      <c r="G12" s="985"/>
    </row>
    <row r="14" spans="2:8" x14ac:dyDescent="0.25">
      <c r="B14" s="919" t="s">
        <v>221</v>
      </c>
      <c r="C14" s="920"/>
      <c r="D14" s="920"/>
      <c r="E14" s="920"/>
      <c r="F14" s="920"/>
      <c r="G14" s="921"/>
    </row>
    <row r="15" spans="2:8" ht="270" customHeight="1" x14ac:dyDescent="0.25">
      <c r="B15" s="966" t="s">
        <v>266</v>
      </c>
      <c r="C15" s="967"/>
      <c r="D15" s="967"/>
      <c r="E15" s="967"/>
      <c r="F15" s="967"/>
      <c r="G15" s="968"/>
    </row>
    <row r="17" spans="1:8" ht="23.25" customHeight="1" x14ac:dyDescent="0.25">
      <c r="B17" s="922" t="s">
        <v>222</v>
      </c>
      <c r="C17" s="923"/>
      <c r="D17" s="923"/>
      <c r="E17" s="923"/>
      <c r="F17" s="923"/>
      <c r="G17" s="924"/>
    </row>
    <row r="18" spans="1:8" ht="91.5" customHeight="1" x14ac:dyDescent="0.25">
      <c r="B18" s="158" t="s">
        <v>223</v>
      </c>
    </row>
    <row r="19" spans="1:8" s="1" customFormat="1" ht="57.75" customHeight="1" x14ac:dyDescent="0.2">
      <c r="A19" s="953" t="s">
        <v>224</v>
      </c>
      <c r="B19" s="969" t="s">
        <v>267</v>
      </c>
      <c r="C19" s="177" t="s">
        <v>268</v>
      </c>
      <c r="D19" s="178" t="s">
        <v>269</v>
      </c>
      <c r="E19" s="178" t="s">
        <v>270</v>
      </c>
      <c r="F19" s="179"/>
      <c r="G19" s="295" t="s">
        <v>656</v>
      </c>
    </row>
    <row r="20" spans="1:8" s="1" customFormat="1" ht="30" customHeight="1" x14ac:dyDescent="0.2">
      <c r="A20" s="953"/>
      <c r="B20" s="970"/>
      <c r="C20" s="972" t="s">
        <v>657</v>
      </c>
      <c r="D20" s="973"/>
      <c r="E20" s="973"/>
      <c r="F20" s="974"/>
      <c r="G20" s="179"/>
    </row>
    <row r="21" spans="1:8" s="1" customFormat="1" ht="77.25" customHeight="1" x14ac:dyDescent="0.2">
      <c r="A21" s="953"/>
      <c r="B21" s="971"/>
      <c r="C21" s="180"/>
      <c r="D21" s="181" t="s">
        <v>271</v>
      </c>
      <c r="E21" s="182" t="s">
        <v>272</v>
      </c>
      <c r="F21" s="181"/>
      <c r="G21" s="183"/>
    </row>
    <row r="22" spans="1:8" s="1" customFormat="1" ht="40.5" customHeight="1" x14ac:dyDescent="0.2">
      <c r="A22" s="953"/>
      <c r="B22" s="184" t="s">
        <v>273</v>
      </c>
      <c r="C22" s="975" t="s">
        <v>274</v>
      </c>
      <c r="D22" s="976"/>
      <c r="E22" s="976"/>
      <c r="F22" s="976"/>
      <c r="G22" s="977"/>
    </row>
    <row r="23" spans="1:8" s="1" customFormat="1" ht="38.25" x14ac:dyDescent="0.2">
      <c r="A23" s="953"/>
      <c r="B23" s="184" t="s">
        <v>275</v>
      </c>
      <c r="C23" s="178" t="s">
        <v>276</v>
      </c>
      <c r="D23" s="185"/>
      <c r="E23" s="179"/>
      <c r="F23" s="179"/>
      <c r="G23" s="179"/>
    </row>
    <row r="24" spans="1:8" s="1" customFormat="1" ht="38.25" x14ac:dyDescent="0.2">
      <c r="A24" s="953"/>
      <c r="B24" s="184" t="s">
        <v>277</v>
      </c>
      <c r="C24" s="186" t="s">
        <v>278</v>
      </c>
      <c r="D24" s="179"/>
      <c r="E24" s="179"/>
      <c r="F24" s="187"/>
      <c r="G24" s="179"/>
    </row>
    <row r="25" spans="1:8" s="1" customFormat="1" ht="108.75" customHeight="1" x14ac:dyDescent="0.2">
      <c r="A25" s="953"/>
      <c r="B25" s="184" t="s">
        <v>279</v>
      </c>
      <c r="C25" s="188"/>
      <c r="D25" s="179"/>
      <c r="E25" s="179"/>
      <c r="F25" s="189" t="s">
        <v>655</v>
      </c>
      <c r="G25" s="187"/>
    </row>
    <row r="26" spans="1:8" s="1" customFormat="1" ht="127.5" x14ac:dyDescent="0.2">
      <c r="A26" s="953"/>
      <c r="B26" s="184" t="s">
        <v>243</v>
      </c>
      <c r="C26" s="188"/>
      <c r="D26" s="179"/>
      <c r="E26" s="179"/>
      <c r="F26" s="189" t="s">
        <v>658</v>
      </c>
      <c r="G26" s="187"/>
    </row>
    <row r="27" spans="1:8" s="1" customFormat="1" ht="38.25" x14ac:dyDescent="0.2">
      <c r="A27" s="953"/>
      <c r="B27" s="184" t="s">
        <v>256</v>
      </c>
      <c r="C27" s="189" t="s">
        <v>280</v>
      </c>
      <c r="D27" s="296" t="s">
        <v>659</v>
      </c>
      <c r="E27" s="296" t="s">
        <v>660</v>
      </c>
      <c r="F27" s="179"/>
      <c r="G27" s="187"/>
    </row>
    <row r="28" spans="1:8" s="1" customFormat="1" ht="121.5" customHeight="1" x14ac:dyDescent="0.2">
      <c r="A28" s="953"/>
      <c r="B28" s="184" t="s">
        <v>260</v>
      </c>
      <c r="C28" s="188"/>
      <c r="D28" s="179"/>
      <c r="E28" s="179"/>
      <c r="F28" s="179"/>
      <c r="G28" s="189" t="s">
        <v>281</v>
      </c>
    </row>
    <row r="29" spans="1:8" ht="15" customHeight="1" x14ac:dyDescent="0.25">
      <c r="A29" s="164"/>
      <c r="B29" s="165"/>
    </row>
    <row r="30" spans="1:8" ht="63.75" x14ac:dyDescent="0.25">
      <c r="A30" s="164"/>
      <c r="B30" s="190" t="s">
        <v>232</v>
      </c>
      <c r="C30" s="191" t="s">
        <v>282</v>
      </c>
      <c r="D30" s="192" t="s">
        <v>234</v>
      </c>
      <c r="E30" s="193" t="s">
        <v>235</v>
      </c>
    </row>
    <row r="31" spans="1:8" ht="26.25" customHeight="1" x14ac:dyDescent="0.25">
      <c r="B31" s="165"/>
      <c r="H31" s="167"/>
    </row>
    <row r="32" spans="1:8" x14ac:dyDescent="0.25">
      <c r="B32" s="913" t="s">
        <v>236</v>
      </c>
      <c r="C32" s="914"/>
      <c r="D32" s="914"/>
      <c r="E32" s="914"/>
      <c r="F32" s="914"/>
      <c r="G32" s="915"/>
    </row>
    <row r="33" spans="2:7" ht="409.5" customHeight="1" x14ac:dyDescent="0.25">
      <c r="B33" s="963" t="s">
        <v>554</v>
      </c>
      <c r="C33" s="964"/>
      <c r="D33" s="964"/>
      <c r="E33" s="964"/>
      <c r="F33" s="964"/>
      <c r="G33" s="965"/>
    </row>
    <row r="35" spans="2:7" x14ac:dyDescent="0.25">
      <c r="B35" s="913" t="s">
        <v>238</v>
      </c>
      <c r="C35" s="914"/>
      <c r="D35" s="914"/>
      <c r="E35" s="914"/>
      <c r="F35" s="914"/>
      <c r="G35" s="915"/>
    </row>
    <row r="36" spans="2:7" ht="198" customHeight="1" x14ac:dyDescent="0.25">
      <c r="B36" s="963" t="s">
        <v>555</v>
      </c>
      <c r="C36" s="964"/>
      <c r="D36" s="964"/>
      <c r="E36" s="964"/>
      <c r="F36" s="964"/>
      <c r="G36" s="965"/>
    </row>
  </sheetData>
  <sheetProtection algorithmName="SHA-512" hashValue="L88m/Nspf79JYO2gUtsht3zR63+jq59BQJunbqvO50zy+eLdcpjbTfpWTvjQBQypPpCU/599lMrZnBrakq5sQw==" saltValue="VnKLfJcBFjIJKYS0OYUqkw==" spinCount="100000" sheet="1" objects="1" scenarios="1" selectLockedCells="1" selectUnlockedCells="1"/>
  <mergeCells count="20">
    <mergeCell ref="A19:A28"/>
    <mergeCell ref="B19:B21"/>
    <mergeCell ref="C20:F20"/>
    <mergeCell ref="C22:G22"/>
    <mergeCell ref="B1:G1"/>
    <mergeCell ref="B3:G3"/>
    <mergeCell ref="B4:G4"/>
    <mergeCell ref="B6:G6"/>
    <mergeCell ref="B7:G7"/>
    <mergeCell ref="B9:G9"/>
    <mergeCell ref="B10:G10"/>
    <mergeCell ref="B11:E11"/>
    <mergeCell ref="B12:G12"/>
    <mergeCell ref="B32:G32"/>
    <mergeCell ref="B33:G33"/>
    <mergeCell ref="B35:G35"/>
    <mergeCell ref="B36:G36"/>
    <mergeCell ref="B14:G14"/>
    <mergeCell ref="B15:G15"/>
    <mergeCell ref="B17:G17"/>
  </mergeCells>
  <pageMargins left="0.25" right="0.25" top="0.75" bottom="0.75" header="0.3" footer="0.3"/>
  <pageSetup paperSize="8" scale="52" fitToHeight="0" orientation="portrait" r:id="rId1"/>
  <rowBreaks count="1" manualBreakCount="1">
    <brk id="1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50"/>
  <sheetViews>
    <sheetView showGridLines="0" zoomScale="80" zoomScaleNormal="80" workbookViewId="0"/>
  </sheetViews>
  <sheetFormatPr baseColWidth="10" defaultColWidth="0" defaultRowHeight="15" zeroHeight="1" x14ac:dyDescent="0.25"/>
  <cols>
    <col min="1" max="1" width="2.42578125" customWidth="1"/>
    <col min="2" max="2" width="14.42578125" style="49" bestFit="1" customWidth="1"/>
    <col min="3" max="3" width="7.140625" style="49" hidden="1" customWidth="1"/>
    <col min="4" max="4" width="58.42578125" style="49" customWidth="1"/>
    <col min="5" max="5" width="12.7109375" style="49" hidden="1" customWidth="1"/>
    <col min="6" max="6" width="12.42578125" style="361" hidden="1" customWidth="1"/>
    <col min="7" max="7" width="15.85546875" style="49" hidden="1" customWidth="1"/>
    <col min="8" max="8" width="27" style="198" customWidth="1"/>
    <col min="9" max="9" width="12.28515625" style="49" customWidth="1"/>
    <col min="10" max="10" width="75.28515625" customWidth="1"/>
    <col min="11" max="11" width="21" style="48" customWidth="1"/>
    <col min="12" max="12" width="27" hidden="1" customWidth="1"/>
    <col min="13" max="13" width="12.28515625" style="48" hidden="1" customWidth="1"/>
    <col min="14" max="14" width="75.28515625" hidden="1" customWidth="1"/>
    <col min="15" max="15" width="21" hidden="1" customWidth="1"/>
    <col min="16" max="18" width="20" customWidth="1"/>
    <col min="19" max="16384" width="9.140625" hidden="1"/>
  </cols>
  <sheetData>
    <row r="1" spans="2:18" ht="15.75" thickBot="1" x14ac:dyDescent="0.3"/>
    <row r="2" spans="2:18" s="385" customFormat="1" ht="22.5" customHeight="1" thickBot="1" x14ac:dyDescent="0.3">
      <c r="B2" s="384"/>
      <c r="C2" s="384"/>
      <c r="D2" s="384"/>
      <c r="E2" s="384"/>
      <c r="F2" s="300"/>
      <c r="G2" s="384"/>
      <c r="H2" s="986" t="s">
        <v>836</v>
      </c>
      <c r="I2" s="987"/>
      <c r="J2" s="987"/>
      <c r="K2" s="988"/>
      <c r="L2" s="989" t="s">
        <v>678</v>
      </c>
      <c r="M2" s="990"/>
      <c r="N2" s="990"/>
      <c r="O2" s="991"/>
    </row>
    <row r="3" spans="2:18" s="393" customFormat="1" ht="47.25" customHeight="1" thickBot="1" x14ac:dyDescent="0.3">
      <c r="B3" s="386" t="s">
        <v>59</v>
      </c>
      <c r="C3" s="387" t="s">
        <v>674</v>
      </c>
      <c r="D3" s="387" t="s">
        <v>671</v>
      </c>
      <c r="E3" s="387" t="s">
        <v>672</v>
      </c>
      <c r="F3" s="388" t="s">
        <v>673</v>
      </c>
      <c r="G3" s="389" t="s">
        <v>679</v>
      </c>
      <c r="H3" s="390" t="s">
        <v>403</v>
      </c>
      <c r="I3" s="389" t="s">
        <v>404</v>
      </c>
      <c r="J3" s="389" t="s">
        <v>405</v>
      </c>
      <c r="K3" s="391" t="s">
        <v>406</v>
      </c>
      <c r="L3" s="390" t="s">
        <v>403</v>
      </c>
      <c r="M3" s="389" t="s">
        <v>404</v>
      </c>
      <c r="N3" s="389" t="s">
        <v>405</v>
      </c>
      <c r="O3" s="391" t="s">
        <v>406</v>
      </c>
      <c r="P3" s="392"/>
      <c r="Q3" s="392"/>
      <c r="R3" s="392"/>
    </row>
    <row r="4" spans="2:18" s="244" customFormat="1" ht="6" customHeight="1" x14ac:dyDescent="0.25">
      <c r="B4" s="301"/>
      <c r="C4" s="301"/>
      <c r="D4" s="301"/>
      <c r="E4" s="301"/>
      <c r="F4" s="301"/>
      <c r="G4" s="301"/>
      <c r="H4" s="301"/>
      <c r="I4" s="301"/>
      <c r="J4" s="301"/>
      <c r="K4" s="301"/>
      <c r="L4" s="301"/>
      <c r="M4" s="360"/>
    </row>
    <row r="5" spans="2:18" ht="25.5" x14ac:dyDescent="0.25">
      <c r="B5" s="305" t="s">
        <v>64</v>
      </c>
      <c r="C5" s="306">
        <v>1</v>
      </c>
      <c r="D5" s="307" t="str">
        <f>VLOOKUP(C5,'Axe 1'!$D$6:$G$29,4,FALSE)</f>
        <v>La  collectivité justifie d'un portage politique de l'économie circulaire fort : un ou plusieurs élu(s) est (sont) moteur(s) sur le sujet.</v>
      </c>
      <c r="E5" s="307" t="s">
        <v>67</v>
      </c>
      <c r="F5" s="362">
        <f>INDEX('Note finale'!$B$5:$AA$26,MATCH(B5,'Note finale'!$B$5:$B$26,0),MATCH(E5,'Note finale'!$B$4:$AA$4,0))</f>
        <v>1.3837638376383763E-3</v>
      </c>
      <c r="G5" s="307"/>
      <c r="H5" s="359" t="s">
        <v>410</v>
      </c>
      <c r="I5" s="368" t="s">
        <v>408</v>
      </c>
      <c r="J5" s="359" t="s">
        <v>70</v>
      </c>
      <c r="K5" s="369" t="s">
        <v>409</v>
      </c>
      <c r="L5" s="370"/>
      <c r="M5" s="368"/>
      <c r="N5" s="371"/>
      <c r="O5" s="372"/>
    </row>
    <row r="6" spans="2:18" ht="25.5" x14ac:dyDescent="0.25">
      <c r="B6" s="310" t="s">
        <v>64</v>
      </c>
      <c r="C6" s="311">
        <v>2</v>
      </c>
      <c r="D6" s="313" t="str">
        <f>VLOOKUP(C6,'Axe 1'!$D$6:$G$29,4,FALSE)</f>
        <v>La collectivité justifie d'un pilotage technique interne de la politique économie circulaire solide</v>
      </c>
      <c r="E6" s="313" t="s">
        <v>67</v>
      </c>
      <c r="F6" s="363">
        <f>INDEX('Note finale'!$B$5:$AA$26,MATCH(B6,'Note finale'!$B$5:$B$26,0),MATCH(E6,'Note finale'!$B$4:$AA$4,0))</f>
        <v>1.3837638376383763E-3</v>
      </c>
      <c r="G6" s="313"/>
      <c r="H6" s="331" t="s">
        <v>677</v>
      </c>
      <c r="I6" s="330" t="s">
        <v>411</v>
      </c>
      <c r="J6" s="331" t="s">
        <v>412</v>
      </c>
      <c r="K6" s="373"/>
      <c r="L6" s="374"/>
      <c r="M6" s="330"/>
      <c r="N6" s="351"/>
      <c r="O6" s="375"/>
    </row>
    <row r="7" spans="2:18" ht="25.5" x14ac:dyDescent="0.25">
      <c r="B7" s="310" t="s">
        <v>64</v>
      </c>
      <c r="C7" s="311">
        <v>3</v>
      </c>
      <c r="D7" s="313" t="str">
        <f>VLOOKUP(C7,'Axe 1'!$D$6:$G$29,4,FALSE)</f>
        <v xml:space="preserve">Un diagnostic de l'économie circulaire sur le territoire de la collectivité est programmé. </v>
      </c>
      <c r="E7" s="313" t="s">
        <v>67</v>
      </c>
      <c r="F7" s="363">
        <f>INDEX('Note finale'!$B$5:$AA$26,MATCH(B7,'Note finale'!$B$5:$B$26,0),MATCH(E7,'Note finale'!$B$4:$AA$4,0))</f>
        <v>1.3837638376383763E-3</v>
      </c>
      <c r="G7" s="313"/>
      <c r="H7" s="331"/>
      <c r="I7" s="330"/>
      <c r="J7" s="331"/>
      <c r="K7" s="373"/>
      <c r="L7" s="374"/>
      <c r="M7" s="330"/>
      <c r="N7" s="351"/>
      <c r="O7" s="375"/>
    </row>
    <row r="8" spans="2:18" ht="76.5" x14ac:dyDescent="0.25">
      <c r="B8" s="310" t="s">
        <v>64</v>
      </c>
      <c r="C8" s="311">
        <v>4</v>
      </c>
      <c r="D8" s="313" t="str">
        <f>VLOOKUP(C8,'Axe 1'!$D$6:$G$29,4,FALSE)</f>
        <v>Un document cadre de la stratégie économie circulaire est prévu suivant un calendrier et une organisation définis. Il s'appuiera sur le diagnostic territorial établi. Il sera complété par un plan d'actions prévisionnel décrivant les actions prévus, les moyens humains et financiers qui permettront de le mettre en oeuvre. Ainsi, un budget et des moyens spécifiques dédiés au projet sur la durée ont été identifiés.</v>
      </c>
      <c r="E8" s="313" t="s">
        <v>67</v>
      </c>
      <c r="F8" s="363">
        <f>INDEX('Note finale'!$B$5:$AA$26,MATCH(B8,'Note finale'!$B$5:$B$26,0),MATCH(E8,'Note finale'!$B$4:$AA$4,0))</f>
        <v>1.3837638376383763E-3</v>
      </c>
      <c r="G8" s="313"/>
      <c r="H8" s="331"/>
      <c r="I8" s="330"/>
      <c r="J8" s="331"/>
      <c r="K8" s="373"/>
      <c r="L8" s="374"/>
      <c r="M8" s="330"/>
      <c r="N8" s="351"/>
      <c r="O8" s="375"/>
    </row>
    <row r="9" spans="2:18" ht="216.75" x14ac:dyDescent="0.25">
      <c r="B9" s="310" t="s">
        <v>64</v>
      </c>
      <c r="C9" s="311">
        <v>5</v>
      </c>
      <c r="D9" s="313" t="str">
        <f>VLOOKUP(C9,'Axe 1'!$D$6:$G$29,4,FALSE)</f>
        <v>Le diagnostic de l'économie circulaire sur le territoire est réalisé. Il comporte :
- une identification des orientations et des objectifs établis régionalement dans les documents de planification (SRDEII, PRPGD, PRAEC, SRADDET, S3 ...)
- une cartographie des principaux flux entrants, sortants et internes au territoire
- une caractérisation des filières à enjeu en s'appuyant notamment sur  : 
*les acteurs 
*le SRDEII et S3
* les démarches territorialisées (ex : PAT, ...) 
- une cartographie des gisements 
- un recensement des acteurs principaux et initiatives de l'ECi
- une identification des opportunités de développement
Le diagnostic intègre les acteurs et structures de l'ESS présentes sur le territoire.</v>
      </c>
      <c r="E9" s="313" t="s">
        <v>73</v>
      </c>
      <c r="F9" s="363">
        <f>INDEX('Note finale'!$B$5:$AA$26,MATCH(B9,'Note finale'!$B$5:$B$26,0),MATCH(E9,'Note finale'!$B$4:$AA$4,0))</f>
        <v>1.107011070110701E-2</v>
      </c>
      <c r="G9" s="313"/>
      <c r="H9" s="331" t="s">
        <v>407</v>
      </c>
      <c r="I9" s="330" t="s">
        <v>408</v>
      </c>
      <c r="J9" s="331" t="s">
        <v>675</v>
      </c>
      <c r="K9" s="373" t="s">
        <v>409</v>
      </c>
      <c r="L9" s="374"/>
      <c r="M9" s="330"/>
      <c r="N9" s="351"/>
      <c r="O9" s="375"/>
    </row>
    <row r="10" spans="2:18" ht="25.5" x14ac:dyDescent="0.25">
      <c r="B10" s="310" t="s">
        <v>64</v>
      </c>
      <c r="C10" s="311">
        <v>6</v>
      </c>
      <c r="D10" s="313" t="str">
        <f>VLOOKUP(C10,'Axe 1'!$D$6:$G$29,4,FALSE)</f>
        <v>Le document cadre de la stratégie économie circulaire a été validé par la collectivité.</v>
      </c>
      <c r="E10" s="313" t="s">
        <v>73</v>
      </c>
      <c r="F10" s="363">
        <f>INDEX('Note finale'!$B$5:$AA$26,MATCH(B10,'Note finale'!$B$5:$B$26,0),MATCH(E10,'Note finale'!$B$4:$AA$4,0))</f>
        <v>1.107011070110701E-2</v>
      </c>
      <c r="G10" s="313"/>
      <c r="H10" s="331" t="s">
        <v>676</v>
      </c>
      <c r="I10" s="330" t="s">
        <v>408</v>
      </c>
      <c r="J10" s="331" t="s">
        <v>838</v>
      </c>
      <c r="K10" s="373" t="s">
        <v>409</v>
      </c>
      <c r="L10" s="374"/>
      <c r="M10" s="330"/>
      <c r="N10" s="351"/>
      <c r="O10" s="375"/>
    </row>
    <row r="11" spans="2:18" ht="38.25" x14ac:dyDescent="0.25">
      <c r="B11" s="310" t="s">
        <v>64</v>
      </c>
      <c r="C11" s="311">
        <v>7</v>
      </c>
      <c r="D11" s="313" t="str">
        <f>VLOOKUP(C11,'Axe 1'!$D$6:$G$29,4,FALSE)</f>
        <v>La collectivité met en œuvre sa stratégie de communication vis-à-vis des autres communes et EPCI, partage ses bonnes pratiques, et s'implique dans le réseau des collectivités labellisées…</v>
      </c>
      <c r="E11" s="313" t="s">
        <v>73</v>
      </c>
      <c r="F11" s="363">
        <f>INDEX('Note finale'!$B$5:$AA$26,MATCH(B11,'Note finale'!$B$5:$B$26,0),MATCH(E11,'Note finale'!$B$4:$AA$4,0))</f>
        <v>1.107011070110701E-2</v>
      </c>
      <c r="G11" s="313"/>
      <c r="H11" s="331"/>
      <c r="I11" s="330"/>
      <c r="J11" s="331"/>
      <c r="K11" s="373"/>
      <c r="L11" s="374"/>
      <c r="M11" s="330"/>
      <c r="N11" s="351"/>
      <c r="O11" s="375"/>
    </row>
    <row r="12" spans="2:18" x14ac:dyDescent="0.25">
      <c r="B12" s="310" t="s">
        <v>64</v>
      </c>
      <c r="C12" s="311">
        <v>8</v>
      </c>
      <c r="D12" s="313" t="str">
        <f>VLOOKUP(C12,'Axe 1'!$D$6:$G$29,4,FALSE)</f>
        <v>Le diagnostic a été mis à jour en fonction des résultats observés.</v>
      </c>
      <c r="E12" s="313" t="s">
        <v>75</v>
      </c>
      <c r="F12" s="363">
        <f>INDEX('Note finale'!$B$5:$AA$26,MATCH(B12,'Note finale'!$B$5:$B$26,0),MATCH(E12,'Note finale'!$B$4:$AA$4,0))</f>
        <v>5.5350553505535052E-3</v>
      </c>
      <c r="G12" s="313"/>
      <c r="H12" s="331"/>
      <c r="I12" s="330"/>
      <c r="J12" s="331"/>
      <c r="K12" s="373"/>
      <c r="L12" s="374"/>
      <c r="M12" s="330"/>
      <c r="N12" s="351"/>
      <c r="O12" s="375"/>
    </row>
    <row r="13" spans="2:18" ht="25.5" x14ac:dyDescent="0.25">
      <c r="B13" s="310" t="s">
        <v>64</v>
      </c>
      <c r="C13" s="311">
        <v>9</v>
      </c>
      <c r="D13" s="313" t="str">
        <f>VLOOKUP(C13,'Axe 1'!$D$6:$G$29,4,FALSE)</f>
        <v>La collectivité valorise et partage ses bonnes pratiques avec d'autres collectivités pour trouver de nouveaux potentiels d'actions.</v>
      </c>
      <c r="E13" s="313" t="s">
        <v>75</v>
      </c>
      <c r="F13" s="363">
        <f>INDEX('Note finale'!$B$5:$AA$26,MATCH(B13,'Note finale'!$B$5:$B$26,0),MATCH(E13,'Note finale'!$B$4:$AA$4,0))</f>
        <v>5.5350553505535052E-3</v>
      </c>
      <c r="G13" s="313"/>
      <c r="H13" s="374" t="s">
        <v>413</v>
      </c>
      <c r="I13" s="330" t="s">
        <v>40</v>
      </c>
      <c r="J13" s="351" t="s">
        <v>781</v>
      </c>
      <c r="K13" s="373"/>
      <c r="L13" s="374"/>
      <c r="M13" s="330"/>
      <c r="N13" s="351"/>
      <c r="O13" s="375"/>
    </row>
    <row r="14" spans="2:18" ht="25.5" x14ac:dyDescent="0.25">
      <c r="B14" s="310" t="s">
        <v>64</v>
      </c>
      <c r="C14" s="311">
        <v>10</v>
      </c>
      <c r="D14" s="313" t="str">
        <f>VLOOKUP(C14,'Axe 1'!$D$6:$G$29,4,FALSE)</f>
        <v>La collectivité communique son diagnostic à la Région notamment, afin de faciliter par la suite l'élaboration des PRPGD.</v>
      </c>
      <c r="E14" s="313" t="s">
        <v>75</v>
      </c>
      <c r="F14" s="363">
        <f>INDEX('Note finale'!$B$5:$AA$26,MATCH(B14,'Note finale'!$B$5:$B$26,0),MATCH(E14,'Note finale'!$B$4:$AA$4,0))</f>
        <v>5.5350553505535052E-3</v>
      </c>
      <c r="G14" s="313"/>
      <c r="H14" s="331" t="s">
        <v>839</v>
      </c>
      <c r="I14" s="330" t="s">
        <v>40</v>
      </c>
      <c r="J14" s="331" t="s">
        <v>780</v>
      </c>
      <c r="K14" s="373"/>
      <c r="L14" s="374"/>
      <c r="M14" s="330"/>
      <c r="N14" s="351"/>
      <c r="O14" s="375"/>
    </row>
    <row r="15" spans="2:18" ht="76.5" x14ac:dyDescent="0.25">
      <c r="B15" s="310" t="s">
        <v>80</v>
      </c>
      <c r="C15" s="311">
        <v>11</v>
      </c>
      <c r="D15" s="313" t="str">
        <f>VLOOKUP(C15,'Axe 1'!$D$6:$G$29,4,FALSE)</f>
        <v>La démarche EC s'inscrit dans le projet de territoire et fait l'objet d'une délibération de l'EPCI. Elle prévoit de s'articuler avec les autres schémas et plans stratégiques de la collectivité en cours de rédaction (ex. : PCAET, développement économique, aménagement et planification du territoire, numérique… en fonction du type et des enjeux du territoire).</v>
      </c>
      <c r="E15" s="313" t="s">
        <v>67</v>
      </c>
      <c r="F15" s="363">
        <f>INDEX('Note finale'!$B$5:$AA$26,MATCH(B15,'Note finale'!$B$5:$B$26,0),MATCH(E15,'Note finale'!$B$4:$AA$4,0))</f>
        <v>5.5350553505535052E-3</v>
      </c>
      <c r="G15" s="313"/>
      <c r="H15" s="331" t="s">
        <v>414</v>
      </c>
      <c r="I15" s="330" t="s">
        <v>408</v>
      </c>
      <c r="J15" s="331" t="s">
        <v>782</v>
      </c>
      <c r="K15" s="373" t="s">
        <v>409</v>
      </c>
      <c r="L15" s="374" t="s">
        <v>414</v>
      </c>
      <c r="M15" s="330" t="s">
        <v>40</v>
      </c>
      <c r="N15" s="351" t="s">
        <v>783</v>
      </c>
      <c r="O15" s="375"/>
    </row>
    <row r="16" spans="2:18" ht="76.5" x14ac:dyDescent="0.25">
      <c r="B16" s="310" t="s">
        <v>80</v>
      </c>
      <c r="C16" s="311">
        <v>12</v>
      </c>
      <c r="D16" s="313" t="str">
        <f>VLOOKUP(C16,'Axe 1'!$D$6:$G$29,4,FALSE)</f>
        <v>La collectivité fixe des orientations et des objectifs clairs dans ses différents plans ou démarches territoriales (démarche d'AEU, démarche d'EIT, objectifs de report modal dans le PDU, objectifs d'aménagement du territoire via les PLU, schémas territoriaux (PLPDMA, PCAET, ...), etc. Ceux-ci sont conformes ou compatibles aux orientations et aux objectifs établis régionalement (SRDEII, PRPGD, PRAEC, SRADDET, S3 ...)</v>
      </c>
      <c r="E16" s="313" t="s">
        <v>73</v>
      </c>
      <c r="F16" s="363">
        <f>INDEX('Note finale'!$B$5:$AA$26,MATCH(B16,'Note finale'!$B$5:$B$26,0),MATCH(E16,'Note finale'!$B$4:$AA$4,0))</f>
        <v>0</v>
      </c>
      <c r="G16" s="313"/>
      <c r="H16" s="331"/>
      <c r="I16" s="330"/>
      <c r="J16" s="331"/>
      <c r="K16" s="373"/>
      <c r="L16" s="374"/>
      <c r="M16" s="330"/>
      <c r="N16" s="351"/>
      <c r="O16" s="375"/>
    </row>
    <row r="17" spans="2:15" ht="51" x14ac:dyDescent="0.25">
      <c r="B17" s="310" t="s">
        <v>80</v>
      </c>
      <c r="C17" s="311">
        <v>13</v>
      </c>
      <c r="D17" s="313" t="str">
        <f>VLOOKUP(C17,'Axe 1'!$D$6:$G$29,4,FALSE)</f>
        <v>Une démarche de partage interne des enjeux de l'EC est engagée, se formalisant par la formation des agents de la collectivité à l'économie circulaire, en fonction des besoins de la collectivité et en fonction des connaissances des agents et de leur rôle dans la collectivité.</v>
      </c>
      <c r="E17" s="313" t="s">
        <v>75</v>
      </c>
      <c r="F17" s="363">
        <f>INDEX('Note finale'!$B$5:$AA$26,MATCH(B17,'Note finale'!$B$5:$B$26,0),MATCH(E17,'Note finale'!$B$4:$AA$4,0))</f>
        <v>1.6605166051660517E-2</v>
      </c>
      <c r="G17" s="313"/>
      <c r="H17" s="331" t="s">
        <v>415</v>
      </c>
      <c r="I17" s="330" t="s">
        <v>408</v>
      </c>
      <c r="J17" s="331" t="s">
        <v>784</v>
      </c>
      <c r="K17" s="373"/>
      <c r="L17" s="374" t="s">
        <v>415</v>
      </c>
      <c r="M17" s="330" t="s">
        <v>40</v>
      </c>
      <c r="N17" s="351" t="s">
        <v>785</v>
      </c>
      <c r="O17" s="375"/>
    </row>
    <row r="18" spans="2:15" ht="140.25" x14ac:dyDescent="0.25">
      <c r="B18" s="310" t="s">
        <v>86</v>
      </c>
      <c r="C18" s="311">
        <v>14</v>
      </c>
      <c r="D18" s="313" t="str">
        <f>VLOOKUP(C18,'Axe 1'!$D$6:$G$29,4,FALSE)</f>
        <v>La collectivité a mis en place des outils de suivi de la stratégie économie circulaire. Il ne s'agit pas seulement d'indicateurs de suivi des déchets, mais plus largement d'indicateurs de suivi de toutes les actions d'EC prévues dans la stratégie définie dans l'orientation 1.2, adaptés aux compétences des collectivités. Par exemple :
- Nombre de ressourceries
- Nombre d'habitants couverts par un dispositif de tarification incitative
- Part (ou nombre) de producteurs couverts par la redevance spéciale
- Quantité de biogaz produit
- ...</v>
      </c>
      <c r="E18" s="313" t="s">
        <v>67</v>
      </c>
      <c r="F18" s="363">
        <f>INDEX('Note finale'!$B$5:$AA$26,MATCH(B18,'Note finale'!$B$5:$B$26,0),MATCH(E18,'Note finale'!$B$4:$AA$4,0))</f>
        <v>1.6605166051660517E-2</v>
      </c>
      <c r="G18" s="313"/>
      <c r="H18" s="331" t="s">
        <v>786</v>
      </c>
      <c r="I18" s="330" t="s">
        <v>408</v>
      </c>
      <c r="J18" s="331" t="s">
        <v>788</v>
      </c>
      <c r="K18" s="373" t="s">
        <v>409</v>
      </c>
      <c r="L18" s="374" t="s">
        <v>787</v>
      </c>
      <c r="M18" s="330" t="s">
        <v>408</v>
      </c>
      <c r="N18" s="351" t="s">
        <v>789</v>
      </c>
      <c r="O18" s="375"/>
    </row>
    <row r="19" spans="2:15" ht="38.25" x14ac:dyDescent="0.25">
      <c r="B19" s="310" t="s">
        <v>86</v>
      </c>
      <c r="C19" s="311">
        <v>15</v>
      </c>
      <c r="D19" s="313" t="str">
        <f>VLOOKUP(C19,'Axe 1'!$D$6:$G$29,4,FALSE)</f>
        <v>Les outils de suivi mis en place permettent de reporter les progrès effectivement réalisés. Ces progrès sont mesurables d'une année sur l'autre.</v>
      </c>
      <c r="E19" s="313" t="s">
        <v>73</v>
      </c>
      <c r="F19" s="363">
        <f>INDEX('Note finale'!$B$5:$AA$26,MATCH(B19,'Note finale'!$B$5:$B$26,0),MATCH(E19,'Note finale'!$B$4:$AA$4,0))</f>
        <v>1.3837638376383764E-2</v>
      </c>
      <c r="G19" s="313"/>
      <c r="H19" s="331"/>
      <c r="I19" s="330"/>
      <c r="J19" s="331"/>
      <c r="K19" s="373" t="s">
        <v>409</v>
      </c>
      <c r="L19" s="374"/>
      <c r="M19" s="330"/>
      <c r="N19" s="351"/>
      <c r="O19" s="375"/>
    </row>
    <row r="20" spans="2:15" ht="38.25" x14ac:dyDescent="0.25">
      <c r="B20" s="310" t="s">
        <v>86</v>
      </c>
      <c r="C20" s="311">
        <v>16</v>
      </c>
      <c r="D20" s="313" t="str">
        <f>VLOOKUP(C20,'Axe 1'!$D$6:$G$29,4,FALSE)</f>
        <v>La collectivité adapte sa stratégie EC et son plan d'actions en fonction du bilan issu du tableau de suivi. La feuille de route est réactualisée régulièrement, sur la base d'éléments objectivés par le bilan</v>
      </c>
      <c r="E20" s="313" t="s">
        <v>73</v>
      </c>
      <c r="F20" s="363">
        <f>INDEX('Note finale'!$B$5:$AA$26,MATCH(B20,'Note finale'!$B$5:$B$26,0),MATCH(E20,'Note finale'!$B$4:$AA$4,0))</f>
        <v>1.3837638376383764E-2</v>
      </c>
      <c r="G20" s="313"/>
      <c r="H20" s="331" t="s">
        <v>417</v>
      </c>
      <c r="I20" s="330" t="s">
        <v>418</v>
      </c>
      <c r="J20" s="331" t="s">
        <v>790</v>
      </c>
      <c r="K20" s="373"/>
      <c r="L20" s="374" t="s">
        <v>791</v>
      </c>
      <c r="M20" s="330" t="s">
        <v>419</v>
      </c>
      <c r="N20" s="351" t="s">
        <v>792</v>
      </c>
      <c r="O20" s="375"/>
    </row>
    <row r="21" spans="2:15" ht="165.75" x14ac:dyDescent="0.25">
      <c r="B21" s="310" t="s">
        <v>86</v>
      </c>
      <c r="C21" s="311">
        <v>17</v>
      </c>
      <c r="D21" s="313" t="str">
        <f>VLOOKUP(C21,'Axe 1'!$D$6:$G$29,4,FALSE)</f>
        <v>La collectivité analyse les impacts de sa politique EC sur différentes thématiques  en lien avec l'observatoire régional (s'il est créé) et met en place une organisation optimisée pour faire remonter les données, les actualiser et les communiquer. Elle considère ainsi par exemple :
- Les quantités de déchets valorisées et évitées ;
- Les ressources épargnées grâce à la stratégie d'EC mise en place ;
- Les émissions de GES évitées, les économies d'énergie réalisées ;
- Nombre d'établissements/activités contribuant à l'économie circulaire sur le territoire ;
- Nombre d'emplois créés et potentiel de création d'emplois, % d'emplois dédiés à l'économie circulaire ;
- Suivi de la localisation des dépenses de la collectivité / du syndicat ;
- Pouvoir d'achat des ménages.</v>
      </c>
      <c r="E21" s="313" t="s">
        <v>75</v>
      </c>
      <c r="F21" s="363">
        <f>INDEX('Note finale'!$B$5:$AA$26,MATCH(B21,'Note finale'!$B$5:$B$26,0),MATCH(E21,'Note finale'!$B$4:$AA$4,0))</f>
        <v>1.107011070110701E-2</v>
      </c>
      <c r="G21" s="313"/>
      <c r="H21" s="331" t="s">
        <v>416</v>
      </c>
      <c r="I21" s="330" t="s">
        <v>408</v>
      </c>
      <c r="J21" s="331" t="s">
        <v>680</v>
      </c>
      <c r="K21" s="373" t="s">
        <v>409</v>
      </c>
      <c r="L21" s="374"/>
      <c r="M21" s="330"/>
      <c r="N21" s="351"/>
      <c r="O21" s="375"/>
    </row>
    <row r="22" spans="2:15" ht="140.25" x14ac:dyDescent="0.25">
      <c r="B22" s="310" t="s">
        <v>385</v>
      </c>
      <c r="C22" s="311">
        <v>18</v>
      </c>
      <c r="D22" s="313" t="str">
        <f>VLOOKUP(C22,'Axe 1'!$D$6:$G$29,4,FALSE)</f>
        <v xml:space="preserve">La collectivité identifie l'ensemble des acteurs à associer à la démarche/au projet et leur compétences :
- BLOC DE COMPÉTENCES ÉTAT/RÉGION (Santé, justice, sécurité, équilibre territorial)
- BLOC COMMUNAL/INTERCOMMUNAL (Administration, voirie, environnement, cadre de vie, économie, équipements)
- GESTIONNAIRES (Bailleurs, syndics, voirie, énergie, transports, approvisionnement en eau)
- ORGANISMES (Entreprises/prestataires, commerces et services, associations)
- CITOYENS </v>
      </c>
      <c r="E22" s="313" t="s">
        <v>67</v>
      </c>
      <c r="F22" s="363">
        <f>INDEX('Note finale'!$B$5:$AA$26,MATCH(B22,'Note finale'!$B$5:$B$26,0),MATCH(E22,'Note finale'!$B$4:$AA$4,0))</f>
        <v>1.6605166051660517E-2</v>
      </c>
      <c r="G22" s="313"/>
      <c r="H22" s="331"/>
      <c r="I22" s="330"/>
      <c r="J22" s="331"/>
      <c r="K22" s="373"/>
      <c r="L22" s="374"/>
      <c r="M22" s="330"/>
      <c r="N22" s="351"/>
      <c r="O22" s="375"/>
    </row>
    <row r="23" spans="2:15" ht="63.75" x14ac:dyDescent="0.25">
      <c r="B23" s="310" t="s">
        <v>385</v>
      </c>
      <c r="C23" s="311">
        <v>19</v>
      </c>
      <c r="D23" s="313" t="str">
        <f>VLOOKUP(C23,'Axe 1'!$D$6:$G$29,4,FALSE)</f>
        <v>La Collectivité met en place des rencontres et des espaces de dialogue pour assurer des coopérations entre les acteurs de différents territoires ou secteurs d’activité. Il est important de prendre en compte l’échelle d’influence du projet pour coordonner les initiatives dans la conception et la mise en oeuvre.</v>
      </c>
      <c r="E23" s="313" t="s">
        <v>73</v>
      </c>
      <c r="F23" s="363">
        <f>INDEX('Note finale'!$B$5:$AA$26,MATCH(B23,'Note finale'!$B$5:$B$26,0),MATCH(E23,'Note finale'!$B$4:$AA$4,0))</f>
        <v>1.3837638376383764E-2</v>
      </c>
      <c r="G23" s="313"/>
      <c r="H23" s="331"/>
      <c r="I23" s="330"/>
      <c r="J23" s="331"/>
      <c r="K23" s="373"/>
      <c r="L23" s="374"/>
      <c r="M23" s="330"/>
      <c r="N23" s="351"/>
      <c r="O23" s="375"/>
    </row>
    <row r="24" spans="2:15" ht="76.5" x14ac:dyDescent="0.25">
      <c r="B24" s="310" t="s">
        <v>385</v>
      </c>
      <c r="C24" s="311">
        <v>20</v>
      </c>
      <c r="D24" s="313" t="str">
        <f>VLOOKUP(C24,'Axe 1'!$D$6:$G$29,4,FALSE)</f>
        <v>Des conditions de dialogue et de suivi propices à l’intégration des contraintes de tous les gestionnaires. La gouvernance du projet doit offrir des temps d’échanges et de validation entre les concepteurs, les bâtisseurs et les futurs gestionnaires, voire les utilisateurs. Ces temps partagés visent à faire le point sur les objectifs fixés et les moyens proposés pour y parvenir, ou à arbitrer.</v>
      </c>
      <c r="E24" s="313" t="s">
        <v>73</v>
      </c>
      <c r="F24" s="363">
        <f>INDEX('Note finale'!$B$5:$AA$26,MATCH(B24,'Note finale'!$B$5:$B$26,0),MATCH(E24,'Note finale'!$B$4:$AA$4,0))</f>
        <v>1.3837638376383764E-2</v>
      </c>
      <c r="G24" s="313"/>
      <c r="H24" s="331"/>
      <c r="I24" s="330"/>
      <c r="J24" s="331"/>
      <c r="K24" s="373"/>
      <c r="L24" s="374"/>
      <c r="M24" s="330"/>
      <c r="N24" s="351"/>
      <c r="O24" s="375"/>
    </row>
    <row r="25" spans="2:15" ht="76.5" x14ac:dyDescent="0.25">
      <c r="B25" s="314" t="s">
        <v>385</v>
      </c>
      <c r="C25" s="315">
        <v>21</v>
      </c>
      <c r="D25" s="316" t="str">
        <f>VLOOKUP(C25,'Axe 1'!$D$6:$G$29,4,FALSE)</f>
        <v>Une instance de la collectivité regroupant des représentants des services impliqués dans la démarche (a minima services déchets, urbanisme et développement économique)  se réunit régulièrement sur la thématique de l'économie circulaire pour partager l'avancement, prévoir de nouvelles actions... Le chef de projet  Label ECi et des membres de son équipe font partie de cette instance.</v>
      </c>
      <c r="E25" s="316" t="s">
        <v>75</v>
      </c>
      <c r="F25" s="364">
        <f>INDEX('Note finale'!$B$5:$AA$26,MATCH(B25,'Note finale'!$B$5:$B$26,0),MATCH(E25,'Note finale'!$B$4:$AA$4,0))</f>
        <v>1.107011070110701E-2</v>
      </c>
      <c r="G25" s="316"/>
      <c r="H25" s="358" t="s">
        <v>677</v>
      </c>
      <c r="I25" s="376" t="s">
        <v>40</v>
      </c>
      <c r="J25" s="358" t="s">
        <v>842</v>
      </c>
      <c r="K25" s="377"/>
      <c r="L25" s="378" t="s">
        <v>677</v>
      </c>
      <c r="M25" s="376" t="s">
        <v>40</v>
      </c>
      <c r="N25" s="379" t="s">
        <v>793</v>
      </c>
      <c r="O25" s="380"/>
    </row>
    <row r="26" spans="2:15" s="245" customFormat="1" x14ac:dyDescent="0.25">
      <c r="B26" s="322"/>
      <c r="C26" s="322"/>
      <c r="D26" s="323"/>
      <c r="E26" s="323"/>
      <c r="F26" s="365"/>
      <c r="G26" s="323"/>
      <c r="H26" s="324"/>
      <c r="I26" s="325"/>
      <c r="J26" s="324"/>
      <c r="K26" s="325"/>
      <c r="L26" s="349"/>
      <c r="M26" s="325"/>
      <c r="N26" s="349"/>
      <c r="O26" s="325"/>
    </row>
    <row r="27" spans="2:15" ht="38.25" x14ac:dyDescent="0.25">
      <c r="B27" s="305" t="s">
        <v>92</v>
      </c>
      <c r="C27" s="306">
        <v>1</v>
      </c>
      <c r="D27" s="307" t="str">
        <f>VLOOKUP(C27,'Axe 2'!D6:$G$104,4,FALSE)</f>
        <v>La collectivité a démarré un programme local de prévention des déchets ménagers et assimilés, indiquant les objectifs de réduction des quantités de déchets et les mesures mises en place pour les atteindre.</v>
      </c>
      <c r="E27" s="307" t="s">
        <v>67</v>
      </c>
      <c r="F27" s="362">
        <f>INDEX('Note finale'!$B$5:$AA$26,MATCH(B27,'Note finale'!$B$5:$B$26,0),MATCH(E27,'Note finale'!$B$4:$AA$4,0))</f>
        <v>2.7675276752767526E-3</v>
      </c>
      <c r="G27" s="307"/>
      <c r="H27" s="359" t="s">
        <v>420</v>
      </c>
      <c r="I27" s="151" t="s">
        <v>418</v>
      </c>
      <c r="J27" s="308" t="s">
        <v>794</v>
      </c>
      <c r="K27" s="319"/>
      <c r="L27" s="359" t="s">
        <v>420</v>
      </c>
      <c r="M27" s="151" t="s">
        <v>421</v>
      </c>
      <c r="N27" s="51" t="s">
        <v>795</v>
      </c>
      <c r="O27" s="309"/>
    </row>
    <row r="28" spans="2:15" ht="25.5" x14ac:dyDescent="0.25">
      <c r="B28" s="310" t="s">
        <v>92</v>
      </c>
      <c r="C28" s="311">
        <v>2</v>
      </c>
      <c r="D28" s="313" t="str">
        <f>VLOOKUP(C28,'Axe 2'!D7:$G$104,4,FALSE)</f>
        <v>Dans le cas d'un PLPDMA, les documents sont mis en ligne sur la plateforme SINOE</v>
      </c>
      <c r="E28" s="313" t="s">
        <v>67</v>
      </c>
      <c r="F28" s="363">
        <f>INDEX('Note finale'!$B$5:$AA$26,MATCH(B28,'Note finale'!$B$5:$B$26,0),MATCH(E28,'Note finale'!$B$4:$AA$4,0))</f>
        <v>2.7675276752767526E-3</v>
      </c>
      <c r="G28" s="313"/>
      <c r="H28" s="17" t="s">
        <v>422</v>
      </c>
      <c r="I28" s="152" t="s">
        <v>408</v>
      </c>
      <c r="J28" s="17" t="s">
        <v>423</v>
      </c>
      <c r="K28" s="320"/>
      <c r="L28" s="355"/>
      <c r="M28" s="152"/>
      <c r="N28" s="16"/>
      <c r="O28" s="312"/>
    </row>
    <row r="29" spans="2:15" ht="38.25" x14ac:dyDescent="0.25">
      <c r="B29" s="310" t="s">
        <v>92</v>
      </c>
      <c r="C29" s="311">
        <v>3</v>
      </c>
      <c r="D29" s="313" t="str">
        <f>VLOOKUP(C29,'Axe 2'!D8:$G$104,4,FALSE)</f>
        <v>Les actions prévues dans le PLPDMA ou dans le programme de prévention des déchets prévu par la collectivité sont appliquées et mise en œuvre.</v>
      </c>
      <c r="E29" s="313" t="s">
        <v>73</v>
      </c>
      <c r="F29" s="363">
        <f>INDEX('Note finale'!$B$5:$AA$26,MATCH(B29,'Note finale'!$B$5:$B$26,0),MATCH(E29,'Note finale'!$B$4:$AA$4,0))</f>
        <v>1.6605166051660517E-2</v>
      </c>
      <c r="G29" s="313"/>
      <c r="H29" s="17" t="s">
        <v>681</v>
      </c>
      <c r="I29" s="152" t="s">
        <v>40</v>
      </c>
      <c r="J29" s="17" t="s">
        <v>98</v>
      </c>
      <c r="K29" s="320"/>
      <c r="L29" s="355"/>
      <c r="M29" s="152"/>
      <c r="N29" s="16"/>
      <c r="O29" s="312"/>
    </row>
    <row r="30" spans="2:15" ht="25.5" x14ac:dyDescent="0.25">
      <c r="B30" s="310" t="s">
        <v>92</v>
      </c>
      <c r="C30" s="311">
        <v>4</v>
      </c>
      <c r="D30" s="313" t="str">
        <f>VLOOKUP(C30,'Axe 2'!D9:$G$104,4,FALSE)</f>
        <v>La collectivité fait vivre une gouvernance participative avec la commission consultative d'élaboration et de suivi.</v>
      </c>
      <c r="E30" s="313" t="s">
        <v>73</v>
      </c>
      <c r="F30" s="363">
        <f>INDEX('Note finale'!$B$5:$AA$26,MATCH(B30,'Note finale'!$B$5:$B$26,0),MATCH(E30,'Note finale'!$B$4:$AA$4,0))</f>
        <v>1.6605166051660517E-2</v>
      </c>
      <c r="G30" s="313"/>
      <c r="H30" s="17"/>
      <c r="I30" s="152"/>
      <c r="J30" s="17"/>
      <c r="K30" s="320"/>
      <c r="L30" s="355"/>
      <c r="M30" s="152"/>
      <c r="N30" s="16"/>
      <c r="O30" s="312"/>
    </row>
    <row r="31" spans="2:15" ht="76.5" x14ac:dyDescent="0.25">
      <c r="B31" s="310" t="s">
        <v>92</v>
      </c>
      <c r="C31" s="311">
        <v>5</v>
      </c>
      <c r="D31" s="313" t="str">
        <f>VLOOKUP(C31,'Axe 2'!D10:$G$104,4,FALSE)</f>
        <v>Une baisse effective des DMA et de la part de déchets organiques encore présente dans les OMR sont constatées.</v>
      </c>
      <c r="E31" s="313" t="s">
        <v>75</v>
      </c>
      <c r="F31" s="363">
        <f>INDEX('Note finale'!$B$5:$AA$26,MATCH(B31,'Note finale'!$B$5:$B$26,0),MATCH(E31,'Note finale'!$B$4:$AA$4,0))</f>
        <v>8.3025830258302586E-3</v>
      </c>
      <c r="G31" s="313"/>
      <c r="H31" s="17" t="s">
        <v>424</v>
      </c>
      <c r="I31" s="152" t="s">
        <v>425</v>
      </c>
      <c r="J31" s="17" t="s">
        <v>796</v>
      </c>
      <c r="K31" s="320" t="s">
        <v>797</v>
      </c>
      <c r="L31" s="355"/>
      <c r="M31" s="152"/>
      <c r="N31" s="16"/>
      <c r="O31" s="312"/>
    </row>
    <row r="32" spans="2:15" ht="76.5" x14ac:dyDescent="0.25">
      <c r="B32" s="310" t="s">
        <v>92</v>
      </c>
      <c r="C32" s="311">
        <v>6</v>
      </c>
      <c r="D32" s="313" t="str">
        <f>VLOOKUP(C32,'Axe 2'!D11:$G$104,4,FALSE)</f>
        <v>En fonction de l'atteinte des objectifs initialement prévus, un nouveau programme de prévention est reconduit, comprenant :
* Une mise à jour de son diagnostic territorial.
* Une mise à jour de la cartographie des acteurs mobilisables.
* Un nouveau  programme d'actions et des nouveaux objectifs de baisse quantifiés sur un prévisionnel d'un minimum de 3 ans.</v>
      </c>
      <c r="E32" s="313" t="s">
        <v>75</v>
      </c>
      <c r="F32" s="363">
        <f>INDEX('Note finale'!$B$5:$AA$26,MATCH(B32,'Note finale'!$B$5:$B$26,0),MATCH(E32,'Note finale'!$B$4:$AA$4,0))</f>
        <v>8.3025830258302586E-3</v>
      </c>
      <c r="G32" s="313"/>
      <c r="H32" s="17" t="s">
        <v>682</v>
      </c>
      <c r="I32" s="152" t="s">
        <v>418</v>
      </c>
      <c r="J32" s="17" t="s">
        <v>683</v>
      </c>
      <c r="K32" s="320"/>
      <c r="L32" s="355"/>
      <c r="M32" s="152"/>
      <c r="N32" s="16"/>
      <c r="O32" s="312"/>
    </row>
    <row r="33" spans="2:15" ht="153" x14ac:dyDescent="0.25">
      <c r="B33" s="310" t="s">
        <v>102</v>
      </c>
      <c r="C33" s="311">
        <v>7</v>
      </c>
      <c r="D33" s="313" t="str">
        <f>VLOOKUP(C33,'Axe 2'!D12:$G$104,4,FALSE)</f>
        <v>La collectivité a écrit son règlement de collecte et a défini les différents seuils relatifs aux services proposés (quantité maxi des assimilés, seuils d'acceptation des pros en déchèterie, coûts de collecte des pros, etc.) en conformité avec le code général des collectivités fixant les limites du SPPGD et en respectant les règles de non-concurrence déloyale.
Le cas échéant, la collectivité a ajusté/supprimé un ou plusieurs de ses services pour se conformer au code général des collectivités et pour respecter les règles de non-concurrence déloyale (ex: collecte spécifique des cartons commerciaux pour les seuls commerçants, collecte des biodéchets des professionnels sans initier celle des ménages, etc.).</v>
      </c>
      <c r="E33" s="313" t="s">
        <v>67</v>
      </c>
      <c r="F33" s="363">
        <f>INDEX('Note finale'!$B$5:$AA$26,MATCH(B33,'Note finale'!$B$5:$B$26,0),MATCH(E33,'Note finale'!$B$4:$AA$4,0))</f>
        <v>2.050020500205002E-3</v>
      </c>
      <c r="G33" s="313"/>
      <c r="H33" s="17"/>
      <c r="I33" s="152"/>
      <c r="J33" s="17"/>
      <c r="K33" s="320"/>
      <c r="L33" s="355"/>
      <c r="M33" s="152"/>
      <c r="N33" s="16"/>
      <c r="O33" s="312"/>
    </row>
    <row r="34" spans="2:15" ht="51" x14ac:dyDescent="0.25">
      <c r="B34" s="310" t="s">
        <v>102</v>
      </c>
      <c r="C34" s="311">
        <v>8</v>
      </c>
      <c r="D34" s="313" t="str">
        <f>VLOOKUP(C34,'Axe 2'!D13:$G$104,4,FALSE)</f>
        <v>La collectivité dispose d'une analyse fine des flux de déchets collectés (OMr / CS) lui permettant d'adapter les contenants et les fréquences de tournées pour garantir un système de collecte efficient sur la base d'une sectorisation équilibrée en charge et en temps de travail.</v>
      </c>
      <c r="E34" s="313" t="s">
        <v>67</v>
      </c>
      <c r="F34" s="363">
        <f>INDEX('Note finale'!$B$5:$AA$26,MATCH(B34,'Note finale'!$B$5:$B$26,0),MATCH(E34,'Note finale'!$B$4:$AA$4,0))</f>
        <v>2.050020500205002E-3</v>
      </c>
      <c r="G34" s="313"/>
      <c r="H34" s="17" t="s">
        <v>426</v>
      </c>
      <c r="I34" s="152" t="s">
        <v>427</v>
      </c>
      <c r="J34" s="17" t="s">
        <v>428</v>
      </c>
      <c r="K34" s="320"/>
      <c r="L34" s="355"/>
      <c r="M34" s="152"/>
      <c r="N34" s="16"/>
      <c r="O34" s="312"/>
    </row>
    <row r="35" spans="2:15" ht="51" x14ac:dyDescent="0.25">
      <c r="B35" s="310" t="s">
        <v>102</v>
      </c>
      <c r="C35" s="311">
        <v>9</v>
      </c>
      <c r="D35" s="313" t="str">
        <f>VLOOKUP(C35,'Axe 2'!D14:$G$104,4,FALSE)</f>
        <v>Pour contribuer à l'efficacité du tri, la collectivité veille à ce que la collecte séparée des déchets d'emballages et de papiers graphiques soit organisée selon des modalités harmonisées sur l'ensemble du territoire national.</v>
      </c>
      <c r="E35" s="313" t="s">
        <v>67</v>
      </c>
      <c r="F35" s="363">
        <f>INDEX('Note finale'!$B$5:$AA$26,MATCH(B35,'Note finale'!$B$5:$B$26,0),MATCH(E35,'Note finale'!$B$4:$AA$4,0))</f>
        <v>2.050020500205002E-3</v>
      </c>
      <c r="G35" s="313"/>
      <c r="H35" s="17" t="s">
        <v>694</v>
      </c>
      <c r="I35" s="152" t="s">
        <v>421</v>
      </c>
      <c r="J35" s="17" t="s">
        <v>693</v>
      </c>
      <c r="K35" s="320" t="s">
        <v>695</v>
      </c>
      <c r="L35" s="355"/>
      <c r="M35" s="152"/>
      <c r="N35" s="16"/>
      <c r="O35" s="312"/>
    </row>
    <row r="36" spans="2:15" ht="76.5" x14ac:dyDescent="0.25">
      <c r="B36" s="310" t="s">
        <v>102</v>
      </c>
      <c r="C36" s="311">
        <v>10</v>
      </c>
      <c r="D36" s="313" t="str">
        <f>VLOOKUP(C36,'Axe 2'!D15:$G$104,4,FALSE)</f>
        <v xml:space="preserve">La collectivité travaille à l'harmonisation de son réseau de déchèteries en assurant les différents services de collecte de type REP, dangereux, non dangereux et inertes et propose un service de réemploi / réutilisation en lien avec des acteurs spécialisés (recycleries, acteurs de l'ESS,...). </v>
      </c>
      <c r="E36" s="313" t="s">
        <v>67</v>
      </c>
      <c r="F36" s="363">
        <f>INDEX('Note finale'!$B$5:$AA$26,MATCH(B36,'Note finale'!$B$5:$B$26,0),MATCH(E36,'Note finale'!$B$4:$AA$4,0))</f>
        <v>2.050020500205002E-3</v>
      </c>
      <c r="G36" s="313"/>
      <c r="H36" s="17" t="s">
        <v>431</v>
      </c>
      <c r="I36" s="152" t="s">
        <v>432</v>
      </c>
      <c r="J36" s="17" t="s">
        <v>631</v>
      </c>
      <c r="K36" s="333" t="s">
        <v>433</v>
      </c>
      <c r="L36" s="343"/>
      <c r="M36" s="326" t="s">
        <v>696</v>
      </c>
      <c r="N36" s="340" t="s">
        <v>697</v>
      </c>
      <c r="O36" s="327"/>
    </row>
    <row r="37" spans="2:15" ht="63.75" x14ac:dyDescent="0.25">
      <c r="B37" s="310" t="s">
        <v>115</v>
      </c>
      <c r="C37" s="311">
        <v>11</v>
      </c>
      <c r="D37" s="313" t="str">
        <f>VLOOKUP(C37,'Axe 2'!D16:$G$104,4,FALSE)</f>
        <v>Elle travaille à l'optimisation de ce réseau d'installations en aménageant les équipements pour répondre aux nouveaux besoins logistiques (accueil des DEEE, Meubles, DDS,...). en particulier, elle communique pour éviter la présence de polluants type PCB dans les conteneurs à huile.</v>
      </c>
      <c r="E37" s="313" t="s">
        <v>67</v>
      </c>
      <c r="F37" s="363">
        <f>INDEX('Note finale'!$B$5:$AA$26,MATCH(B37,'Note finale'!$B$5:$B$26,0),MATCH(E37,'Note finale'!$B$4:$AA$4,0))</f>
        <v>4.1512915129151293E-3</v>
      </c>
      <c r="G37" s="313"/>
      <c r="H37" s="17" t="s">
        <v>431</v>
      </c>
      <c r="I37" s="152" t="s">
        <v>432</v>
      </c>
      <c r="J37" s="17" t="s">
        <v>698</v>
      </c>
      <c r="K37" s="333"/>
      <c r="L37" s="343"/>
      <c r="M37" s="326" t="s">
        <v>696</v>
      </c>
      <c r="N37" s="340" t="s">
        <v>632</v>
      </c>
      <c r="O37" s="327"/>
    </row>
    <row r="38" spans="2:15" ht="114.75" x14ac:dyDescent="0.25">
      <c r="B38" s="310" t="s">
        <v>102</v>
      </c>
      <c r="C38" s="311">
        <v>12</v>
      </c>
      <c r="D38" s="313" t="str">
        <f>VLOOKUP(C38,'Axe 2'!D17:$G$104,4,FALSE)</f>
        <v>La collectivité travaille également à l'optimisation de la performance énergétique des véhicules de collecte : elle a mis en place une politique de motorisation alternative et un plan d'action associé pour atteindre une réduction des GES et des émissions de particules sur le long terme.
Dans le cas où la collectivité gère un parc de plus de 20 véhicules (poids total autorisé en charge &gt; 3,5 tonnes), elle acquière ou utilise, lors du renouvellement du parc, des véhicules à faibles émissions (électriques ou motorisation alternative) dans la proportion minimale de 50% du renouvellement.</v>
      </c>
      <c r="E38" s="313" t="s">
        <v>67</v>
      </c>
      <c r="F38" s="363">
        <f>INDEX('Note finale'!$B$5:$AA$26,MATCH(B38,'Note finale'!$B$5:$B$26,0),MATCH(E38,'Note finale'!$B$4:$AA$4,0))</f>
        <v>2.050020500205002E-3</v>
      </c>
      <c r="G38" s="313"/>
      <c r="H38" s="17" t="s">
        <v>434</v>
      </c>
      <c r="I38" s="152" t="s">
        <v>421</v>
      </c>
      <c r="J38" s="17" t="s">
        <v>699</v>
      </c>
      <c r="K38" s="334">
        <v>1</v>
      </c>
      <c r="L38" s="357"/>
      <c r="M38" s="328" t="s">
        <v>421</v>
      </c>
      <c r="N38" s="350" t="s">
        <v>113</v>
      </c>
      <c r="O38" s="329">
        <v>1</v>
      </c>
    </row>
    <row r="39" spans="2:15" ht="38.25" x14ac:dyDescent="0.25">
      <c r="B39" s="310" t="s">
        <v>102</v>
      </c>
      <c r="C39" s="311">
        <v>13</v>
      </c>
      <c r="D39" s="313" t="str">
        <f>VLOOKUP(C39,'Axe 2'!D18:$G$104,4,FALSE)</f>
        <v>La collectivité a étudié ou étudie les dispositifs techniques de tri à la source des biodéchets les plus adaptées aux spécificités de son territoire.</v>
      </c>
      <c r="E39" s="313" t="s">
        <v>67</v>
      </c>
      <c r="F39" s="363">
        <f>INDEX('Note finale'!$B$5:$AA$26,MATCH(B39,'Note finale'!$B$5:$B$26,0),MATCH(E39,'Note finale'!$B$4:$AA$4,0))</f>
        <v>2.050020500205002E-3</v>
      </c>
      <c r="G39" s="313"/>
      <c r="H39" s="17" t="s">
        <v>700</v>
      </c>
      <c r="I39" s="152" t="s">
        <v>408</v>
      </c>
      <c r="J39" s="17" t="s">
        <v>701</v>
      </c>
      <c r="K39" s="334" t="s">
        <v>409</v>
      </c>
      <c r="L39" s="357"/>
      <c r="M39" s="328"/>
      <c r="N39" s="350"/>
      <c r="O39" s="329"/>
    </row>
    <row r="40" spans="2:15" ht="63.75" x14ac:dyDescent="0.25">
      <c r="B40" s="310" t="s">
        <v>102</v>
      </c>
      <c r="C40" s="311">
        <v>14</v>
      </c>
      <c r="D40" s="313" t="str">
        <f>VLOOKUP(C40,'Axe 2'!D19:$G$104,4,FALSE)</f>
        <v>La collectivité a évalué la part des déchets collecté par le service public qui ne sont pas issus des ménages (déchets des professionnels et des administrations). Elle mesure le nombre de visites des professionnels en déchèteries. La collectivité a fixé un seuil de prise en charge des déchets assimilés.</v>
      </c>
      <c r="E40" s="313" t="s">
        <v>67</v>
      </c>
      <c r="F40" s="363">
        <f>INDEX('Note finale'!$B$5:$AA$26,MATCH(B40,'Note finale'!$B$5:$B$26,0),MATCH(E40,'Note finale'!$B$4:$AA$4,0))</f>
        <v>2.050020500205002E-3</v>
      </c>
      <c r="G40" s="313"/>
      <c r="H40" s="17" t="s">
        <v>702</v>
      </c>
      <c r="I40" s="152" t="s">
        <v>40</v>
      </c>
      <c r="J40" s="17" t="s">
        <v>609</v>
      </c>
      <c r="K40" s="334"/>
      <c r="L40" s="357"/>
      <c r="M40" s="328"/>
      <c r="N40" s="350"/>
      <c r="O40" s="329"/>
    </row>
    <row r="41" spans="2:15" ht="76.5" x14ac:dyDescent="0.25">
      <c r="B41" s="310" t="s">
        <v>102</v>
      </c>
      <c r="C41" s="311">
        <v>15</v>
      </c>
      <c r="D41" s="313" t="str">
        <f>VLOOKUP(C41,'Axe 2'!D20:$G$104,4,FALSE)</f>
        <v xml:space="preserve">La collectivité a engagé des actions de prévention et de sensibilisation auprès des professionnels qui utilisent le Service Public de Gestion des Déchets (SPGD). Elle informe les usagers professionnels sur l'obligation de reprise et sa qualité et sur le tri 5 flux, en orientant vers les services privés s'ils existent. Elle assure une  articulation entre l'offre des professionnels et les déchèteries publiques. </v>
      </c>
      <c r="E41" s="313" t="s">
        <v>67</v>
      </c>
      <c r="F41" s="363">
        <f>INDEX('Note finale'!$B$5:$AA$26,MATCH(B41,'Note finale'!$B$5:$B$26,0),MATCH(E41,'Note finale'!$B$4:$AA$4,0))</f>
        <v>2.050020500205002E-3</v>
      </c>
      <c r="G41" s="313"/>
      <c r="H41" s="17"/>
      <c r="I41" s="152"/>
      <c r="J41" s="17"/>
      <c r="K41" s="334"/>
      <c r="L41" s="357"/>
      <c r="M41" s="328"/>
      <c r="N41" s="350"/>
      <c r="O41" s="329"/>
    </row>
    <row r="42" spans="2:15" ht="51" x14ac:dyDescent="0.25">
      <c r="B42" s="310" t="s">
        <v>102</v>
      </c>
      <c r="C42" s="311">
        <v>16</v>
      </c>
      <c r="D42" s="313" t="str">
        <f>VLOOKUP(C42,'Axe 2'!D21:$G$104,4,FALSE)</f>
        <v>La collectivité optimise son système de collecte pour prendre en compte les spécificités de son territoire (ex : variations saisonnières, évènementiels culturels et sportifs, marchés…).</v>
      </c>
      <c r="E42" s="313" t="s">
        <v>73</v>
      </c>
      <c r="F42" s="363">
        <f>INDEX('Note finale'!$B$5:$AA$26,MATCH(B42,'Note finale'!$B$5:$B$26,0),MATCH(E42,'Note finale'!$B$4:$AA$4,0))</f>
        <v>6.9188191881918819E-3</v>
      </c>
      <c r="G42" s="313"/>
      <c r="H42" s="17" t="s">
        <v>429</v>
      </c>
      <c r="I42" s="152" t="s">
        <v>430</v>
      </c>
      <c r="J42" s="17" t="s">
        <v>843</v>
      </c>
      <c r="K42" s="320"/>
      <c r="L42" s="355"/>
      <c r="M42" s="152" t="s">
        <v>408</v>
      </c>
      <c r="N42" s="16" t="s">
        <v>703</v>
      </c>
      <c r="O42" s="312" t="s">
        <v>409</v>
      </c>
    </row>
    <row r="43" spans="2:15" x14ac:dyDescent="0.25">
      <c r="B43" s="310" t="s">
        <v>102</v>
      </c>
      <c r="C43" s="311">
        <v>17</v>
      </c>
      <c r="D43" s="313" t="str">
        <f>VLOOKUP(C43,'Axe 2'!D22:$G$104,4,FALSE)</f>
        <v>La collectivité facture les professionnels qui utilisent le SPPGD</v>
      </c>
      <c r="E43" s="313" t="s">
        <v>73</v>
      </c>
      <c r="F43" s="363">
        <f>INDEX('Note finale'!$B$5:$AA$26,MATCH(B43,'Note finale'!$B$5:$B$26,0),MATCH(E43,'Note finale'!$B$4:$AA$4,0))</f>
        <v>6.9188191881918819E-3</v>
      </c>
      <c r="G43" s="313"/>
      <c r="H43" s="17"/>
      <c r="I43" s="152"/>
      <c r="J43" s="17"/>
      <c r="K43" s="320"/>
      <c r="L43" s="355"/>
      <c r="M43" s="152"/>
      <c r="N43" s="16"/>
      <c r="O43" s="312"/>
    </row>
    <row r="44" spans="2:15" ht="38.25" x14ac:dyDescent="0.25">
      <c r="B44" s="310" t="s">
        <v>102</v>
      </c>
      <c r="C44" s="311">
        <v>18</v>
      </c>
      <c r="D44" s="313" t="str">
        <f>VLOOKUP(C44,'Axe 2'!D23:$G$104,4,FALSE)</f>
        <v>La collectivité a atteint ses objectifs en termes de véhicules de collecte en motorisation alternative (électrique, hybride, GNV, …)</v>
      </c>
      <c r="E44" s="313" t="s">
        <v>73</v>
      </c>
      <c r="F44" s="363">
        <f>INDEX('Note finale'!$B$5:$AA$26,MATCH(B44,'Note finale'!$B$5:$B$26,0),MATCH(E44,'Note finale'!$B$4:$AA$4,0))</f>
        <v>6.9188191881918819E-3</v>
      </c>
      <c r="G44" s="313"/>
      <c r="H44" s="17" t="s">
        <v>434</v>
      </c>
      <c r="I44" s="152" t="s">
        <v>421</v>
      </c>
      <c r="J44" s="17" t="s">
        <v>113</v>
      </c>
      <c r="K44" s="320" t="s">
        <v>704</v>
      </c>
      <c r="L44" s="355"/>
      <c r="M44" s="152" t="s">
        <v>437</v>
      </c>
      <c r="N44" s="16" t="s">
        <v>438</v>
      </c>
      <c r="O44" s="312"/>
    </row>
    <row r="45" spans="2:15" ht="51" x14ac:dyDescent="0.25">
      <c r="B45" s="310" t="s">
        <v>102</v>
      </c>
      <c r="C45" s="311">
        <v>19</v>
      </c>
      <c r="D45" s="313" t="str">
        <f>VLOOKUP(C45,'Axe 2'!D24:$G$104,4,FALSE)</f>
        <v>La collectivité a instauré des nouveaux services en s'assurant de leur efficience et pertinence sur le territoire (ex. : mise en place de la collecte séparée des biodéchets, réintroduction de la consigne pour réemploi...).</v>
      </c>
      <c r="E45" s="313" t="s">
        <v>73</v>
      </c>
      <c r="F45" s="363">
        <f>INDEX('Note finale'!$B$5:$AA$26,MATCH(B45,'Note finale'!$B$5:$B$26,0),MATCH(E45,'Note finale'!$B$4:$AA$4,0))</f>
        <v>6.9188191881918819E-3</v>
      </c>
      <c r="G45" s="313"/>
      <c r="H45" s="17" t="s">
        <v>435</v>
      </c>
      <c r="I45" s="152" t="s">
        <v>40</v>
      </c>
      <c r="J45" s="17" t="s">
        <v>436</v>
      </c>
      <c r="K45" s="320" t="s">
        <v>114</v>
      </c>
      <c r="L45" s="355"/>
      <c r="M45" s="152"/>
      <c r="N45" s="16"/>
      <c r="O45" s="312"/>
    </row>
    <row r="46" spans="2:15" ht="140.25" x14ac:dyDescent="0.25">
      <c r="B46" s="310" t="s">
        <v>115</v>
      </c>
      <c r="C46" s="311">
        <v>20</v>
      </c>
      <c r="D46" s="313" t="str">
        <f>VLOOKUP(C46,'Axe 2'!D25:$G$104,4,FALSE)</f>
        <v>La hiérarchie des modes de traitement a été étudiée (réutilisation, recyclage et autres formes de valorisation de la matière, valorisation énergétique, élimination : incinération sans valorisation énergétique et stockage en décharge). La collectivité essaye de diversifier ses modes de traitement pour aller vers de la valorisation matière si cela est possible, puis vers une valorisation énergétique le cas échéant.</v>
      </c>
      <c r="E46" s="313" t="s">
        <v>67</v>
      </c>
      <c r="F46" s="363">
        <f>INDEX('Note finale'!$B$5:$AA$26,MATCH(B46,'Note finale'!$B$5:$B$26,0),MATCH(E46,'Note finale'!$B$4:$AA$4,0))</f>
        <v>4.1512915129151293E-3</v>
      </c>
      <c r="G46" s="313"/>
      <c r="H46" s="17" t="s">
        <v>705</v>
      </c>
      <c r="I46" s="152" t="s">
        <v>421</v>
      </c>
      <c r="J46" s="17" t="s">
        <v>706</v>
      </c>
      <c r="K46" s="334" t="s">
        <v>707</v>
      </c>
      <c r="L46" s="355"/>
      <c r="M46" s="152"/>
      <c r="N46" s="16"/>
      <c r="O46" s="20"/>
    </row>
    <row r="47" spans="2:15" ht="38.25" x14ac:dyDescent="0.25">
      <c r="B47" s="310" t="s">
        <v>115</v>
      </c>
      <c r="C47" s="311">
        <v>21</v>
      </c>
      <c r="D47" s="313" t="str">
        <f>VLOOKUP(C47,'Axe 2'!D26:$G$104,4,FALSE)</f>
        <v>Un état des lieux du potentiel d'optimisation de la valorisation énergétique des déchets est effectué, en fonction des installations de traitement des déchets gérées par la collectivité.</v>
      </c>
      <c r="E47" s="313" t="s">
        <v>67</v>
      </c>
      <c r="F47" s="363">
        <f>INDEX('Note finale'!$B$5:$AA$26,MATCH(B47,'Note finale'!$B$5:$B$26,0),MATCH(E47,'Note finale'!$B$4:$AA$4,0))</f>
        <v>4.1512915129151293E-3</v>
      </c>
      <c r="G47" s="313"/>
      <c r="H47" s="17" t="s">
        <v>844</v>
      </c>
      <c r="I47" s="152" t="s">
        <v>408</v>
      </c>
      <c r="J47" s="17" t="s">
        <v>708</v>
      </c>
      <c r="K47" s="335" t="s">
        <v>409</v>
      </c>
      <c r="L47" s="355"/>
      <c r="M47" s="152"/>
      <c r="N47" s="16"/>
      <c r="O47" s="20"/>
    </row>
    <row r="48" spans="2:15" ht="25.5" x14ac:dyDescent="0.25">
      <c r="B48" s="310" t="s">
        <v>115</v>
      </c>
      <c r="C48" s="311">
        <v>22</v>
      </c>
      <c r="D48" s="313" t="str">
        <f>VLOOKUP(C48,'Axe 2'!D27:$G$104,4,FALSE)</f>
        <v>La collectivité met à disposition des solutions de tri à la source des biodéchets adaptées aux spécificités de son territoire</v>
      </c>
      <c r="E48" s="313" t="s">
        <v>67</v>
      </c>
      <c r="F48" s="363">
        <f>INDEX('Note finale'!$B$5:$AA$26,MATCH(B48,'Note finale'!$B$5:$B$26,0),MATCH(E48,'Note finale'!$B$4:$AA$4,0))</f>
        <v>4.1512915129151293E-3</v>
      </c>
      <c r="G48" s="313"/>
      <c r="H48" s="17" t="s">
        <v>709</v>
      </c>
      <c r="I48" s="152" t="s">
        <v>710</v>
      </c>
      <c r="J48" s="17" t="s">
        <v>711</v>
      </c>
      <c r="K48" s="335"/>
      <c r="L48" s="355"/>
      <c r="M48" s="152"/>
      <c r="N48" s="16"/>
      <c r="O48" s="20"/>
    </row>
    <row r="49" spans="2:15" ht="38.25" x14ac:dyDescent="0.25">
      <c r="B49" s="310" t="s">
        <v>115</v>
      </c>
      <c r="C49" s="311">
        <v>23</v>
      </c>
      <c r="D49" s="313" t="str">
        <f>VLOOKUP(C49,'Axe 2'!D28:$G$104,4,FALSE)</f>
        <v>Les biodéchets (déchets alimentaires et déchets verts) font l'objet d'une valorisation matière et/ou énergétique (pf de compostage ou unité de méthanisation)</v>
      </c>
      <c r="E49" s="313" t="s">
        <v>67</v>
      </c>
      <c r="F49" s="363">
        <f>INDEX('Note finale'!$B$5:$AA$26,MATCH(B49,'Note finale'!$B$5:$B$26,0),MATCH(E49,'Note finale'!$B$4:$AA$4,0))</f>
        <v>4.1512915129151293E-3</v>
      </c>
      <c r="G49" s="313"/>
      <c r="H49" s="17" t="s">
        <v>712</v>
      </c>
      <c r="I49" s="152" t="s">
        <v>408</v>
      </c>
      <c r="J49" s="17" t="s">
        <v>713</v>
      </c>
      <c r="K49" s="320" t="s">
        <v>409</v>
      </c>
      <c r="L49" s="355"/>
      <c r="M49" s="152"/>
      <c r="N49" s="16"/>
      <c r="O49" s="312"/>
    </row>
    <row r="50" spans="2:15" ht="25.5" x14ac:dyDescent="0.25">
      <c r="B50" s="310" t="s">
        <v>115</v>
      </c>
      <c r="C50" s="311">
        <v>24</v>
      </c>
      <c r="D50" s="313" t="str">
        <f>CONCATENATE('Liens axe 2'!$B$5," - ",VLOOKUP(C50,'Liens axe 2'!$A$6:$C$9,2,FALSE))</f>
        <v>Unité de méthanisation - Du biogaz est produit et trouve des débouchés (si possible de proximité)</v>
      </c>
      <c r="E50" s="313" t="s">
        <v>73</v>
      </c>
      <c r="F50" s="363">
        <f>INDEX('Note finale'!$B$5:$AA$26,MATCH(B50,'Note finale'!$B$5:$B$26,0),MATCH(E50,'Note finale'!$B$4:$AA$4,0))</f>
        <v>3.8745387453874539E-3</v>
      </c>
      <c r="G50" s="313"/>
      <c r="H50" s="17" t="s">
        <v>714</v>
      </c>
      <c r="I50" s="152" t="s">
        <v>715</v>
      </c>
      <c r="J50" s="17" t="s">
        <v>716</v>
      </c>
      <c r="K50" s="320"/>
      <c r="L50" s="355"/>
      <c r="M50" s="152"/>
      <c r="N50" s="16"/>
      <c r="O50" s="312"/>
    </row>
    <row r="51" spans="2:15" ht="25.5" x14ac:dyDescent="0.25">
      <c r="B51" s="310" t="s">
        <v>115</v>
      </c>
      <c r="C51" s="311">
        <v>25</v>
      </c>
      <c r="D51" s="313" t="str">
        <f>CONCATENATE('Liens axe 2'!$B$5," - ",VLOOKUP(C51,'Liens axe 2'!$A$6:$C$9,2,FALSE))</f>
        <v>Unité de méthanisation - L'unité de méthanisation produit du digestat de bonne qualité, valorisé localement.</v>
      </c>
      <c r="E51" s="313" t="s">
        <v>73</v>
      </c>
      <c r="F51" s="363">
        <f>INDEX('Note finale'!$B$5:$AA$26,MATCH(B51,'Note finale'!$B$5:$B$26,0),MATCH(E51,'Note finale'!$B$4:$AA$4,0))</f>
        <v>3.8745387453874539E-3</v>
      </c>
      <c r="G51" s="313"/>
      <c r="H51" s="17" t="s">
        <v>717</v>
      </c>
      <c r="I51" s="152" t="s">
        <v>458</v>
      </c>
      <c r="J51" s="17" t="s">
        <v>718</v>
      </c>
      <c r="K51" s="320"/>
      <c r="L51" s="355"/>
      <c r="M51" s="152" t="s">
        <v>421</v>
      </c>
      <c r="N51" s="16" t="s">
        <v>719</v>
      </c>
      <c r="O51" s="312"/>
    </row>
    <row r="52" spans="2:15" ht="25.5" x14ac:dyDescent="0.25">
      <c r="B52" s="310" t="s">
        <v>115</v>
      </c>
      <c r="C52" s="311">
        <v>26</v>
      </c>
      <c r="D52" s="313" t="str">
        <f>CONCATENATE('Liens axe 2'!$B$5," - ",VLOOKUP(C52,'Liens axe 2'!$A$6:$C$9,2,FALSE))</f>
        <v>Unité de méthanisation - Les refus sont valorisés de manière appropriée (UTOM ou ISDND si pas d'UTOM)</v>
      </c>
      <c r="E52" s="313" t="s">
        <v>73</v>
      </c>
      <c r="F52" s="363">
        <f>INDEX('Note finale'!$B$5:$AA$26,MATCH(B52,'Note finale'!$B$5:$B$26,0),MATCH(E52,'Note finale'!$B$4:$AA$4,0))</f>
        <v>3.8745387453874539E-3</v>
      </c>
      <c r="G52" s="313"/>
      <c r="H52" s="17" t="s">
        <v>720</v>
      </c>
      <c r="I52" s="152" t="s">
        <v>458</v>
      </c>
      <c r="J52" s="17" t="s">
        <v>721</v>
      </c>
      <c r="K52" s="320"/>
      <c r="L52" s="355"/>
      <c r="M52" s="152"/>
      <c r="N52" s="16"/>
      <c r="O52" s="312"/>
    </row>
    <row r="53" spans="2:15" ht="63.75" x14ac:dyDescent="0.25">
      <c r="B53" s="310" t="s">
        <v>115</v>
      </c>
      <c r="C53" s="311">
        <v>27</v>
      </c>
      <c r="D53" s="313" t="str">
        <f>CONCATENATE('Liens axe 2'!$B$5," - ",VLOOKUP(C53,'Liens axe 2'!$A$6:$C$9,2,FALSE))</f>
        <v>Unité de méthanisation - La production d’électricité et de chaleur en kWh produit à partir de biodéchets pour l'ensemble du territoire (ménages et activités économiques, agricoles...) est en augmentation ou à défaut la part de déchets organiques encore présente dans les OMR est en baisse</v>
      </c>
      <c r="E53" s="313" t="s">
        <v>73</v>
      </c>
      <c r="F53" s="363">
        <f>INDEX('Note finale'!$B$5:$AA$26,MATCH(B53,'Note finale'!$B$5:$B$26,0),MATCH(E53,'Note finale'!$B$4:$AA$4,0))</f>
        <v>3.8745387453874539E-3</v>
      </c>
      <c r="G53" s="313"/>
      <c r="H53" s="17" t="s">
        <v>722</v>
      </c>
      <c r="I53" s="152" t="s">
        <v>421</v>
      </c>
      <c r="J53" s="17" t="s">
        <v>723</v>
      </c>
      <c r="K53" s="320"/>
      <c r="L53" s="355"/>
      <c r="M53" s="152"/>
      <c r="N53" s="16"/>
      <c r="O53" s="312"/>
    </row>
    <row r="54" spans="2:15" ht="38.25" x14ac:dyDescent="0.25">
      <c r="B54" s="310" t="s">
        <v>115</v>
      </c>
      <c r="C54" s="311">
        <v>28</v>
      </c>
      <c r="D54" s="313" t="str">
        <f>CONCATENATE('Liens axe 2'!$F$5," - ",VLOOKUP(C54,'Liens axe 2'!$E$6:$F$11,2,FALSE))</f>
        <v>Incinérateur - Les déchets résiduels d'OMr et assimilés de la collectivité sont traités dans une UIOM sur son territoire ou pour combler un vide de four d'une installation proche.</v>
      </c>
      <c r="E54" s="313" t="s">
        <v>73</v>
      </c>
      <c r="F54" s="363">
        <f>INDEX('Note finale'!$B$5:$AA$26,MATCH(B54,'Note finale'!$B$5:$B$26,0),MATCH(E54,'Note finale'!$B$4:$AA$4,0))</f>
        <v>3.8745387453874539E-3</v>
      </c>
      <c r="G54" s="313"/>
      <c r="H54" s="17" t="s">
        <v>724</v>
      </c>
      <c r="I54" s="152" t="s">
        <v>458</v>
      </c>
      <c r="J54" s="17" t="s">
        <v>725</v>
      </c>
      <c r="K54" s="320"/>
      <c r="L54" s="355"/>
      <c r="M54" s="152"/>
      <c r="N54" s="16"/>
      <c r="O54" s="312"/>
    </row>
    <row r="55" spans="2:15" ht="25.5" x14ac:dyDescent="0.25">
      <c r="B55" s="310" t="s">
        <v>115</v>
      </c>
      <c r="C55" s="311">
        <v>29</v>
      </c>
      <c r="D55" s="313" t="str">
        <f>CONCATENATE('Liens axe 2'!$F$5," - ",VLOOKUP(C55,'Liens axe 2'!$E$6:$F$11,2,FALSE))</f>
        <v>Incinérateur - La part des déchets entrants issus de la collecte séparée (en AV ou en PAP) diminue sur les 5 dernières années</v>
      </c>
      <c r="E55" s="313" t="s">
        <v>73</v>
      </c>
      <c r="F55" s="363">
        <f>INDEX('Note finale'!$B$5:$AA$26,MATCH(B55,'Note finale'!$B$5:$B$26,0),MATCH(E55,'Note finale'!$B$4:$AA$4,0))</f>
        <v>3.8745387453874539E-3</v>
      </c>
      <c r="G55" s="313"/>
      <c r="H55" s="17" t="s">
        <v>726</v>
      </c>
      <c r="I55" s="152" t="s">
        <v>421</v>
      </c>
      <c r="J55" s="17" t="s">
        <v>727</v>
      </c>
      <c r="K55" s="320" t="s">
        <v>728</v>
      </c>
      <c r="L55" s="355"/>
      <c r="M55" s="152"/>
      <c r="N55" s="16"/>
      <c r="O55" s="312"/>
    </row>
    <row r="56" spans="2:15" ht="38.25" x14ac:dyDescent="0.25">
      <c r="B56" s="310" t="s">
        <v>115</v>
      </c>
      <c r="C56" s="311">
        <v>30</v>
      </c>
      <c r="D56" s="313" t="str">
        <f>CONCATENATE('Liens axe 2'!$F$5," - ",VLOOKUP(C56,'Liens axe 2'!$E$6:$F$11,2,FALSE))</f>
        <v>Incinérateur - L'UIOM fait l'objet d'une valorisation de l'énergie produite. L'UIOM est reliée à un réseau de chaleur qui dispose de débouchés de proximité.</v>
      </c>
      <c r="E56" s="313" t="s">
        <v>73</v>
      </c>
      <c r="F56" s="363">
        <f>INDEX('Note finale'!$B$5:$AA$26,MATCH(B56,'Note finale'!$B$5:$B$26,0),MATCH(E56,'Note finale'!$B$4:$AA$4,0))</f>
        <v>3.8745387453874539E-3</v>
      </c>
      <c r="G56" s="313"/>
      <c r="H56" s="17" t="s">
        <v>729</v>
      </c>
      <c r="I56" s="152" t="s">
        <v>421</v>
      </c>
      <c r="J56" s="17" t="s">
        <v>158</v>
      </c>
      <c r="K56" s="320"/>
      <c r="L56" s="355"/>
      <c r="M56" s="152"/>
      <c r="N56" s="16"/>
      <c r="O56" s="312"/>
    </row>
    <row r="57" spans="2:15" x14ac:dyDescent="0.25">
      <c r="B57" s="310" t="s">
        <v>115</v>
      </c>
      <c r="C57" s="311">
        <v>31</v>
      </c>
      <c r="D57" s="313" t="str">
        <f>CONCATENATE('Liens axe 2'!$F$5," - ",VLOOKUP(C57,'Liens axe 2'!$E$6:$F$11,2,FALSE))</f>
        <v xml:space="preserve">Incinérateur - Les mâchefers sont envoyés en plateforme de maturation. </v>
      </c>
      <c r="E57" s="313" t="s">
        <v>73</v>
      </c>
      <c r="F57" s="363">
        <f>INDEX('Note finale'!$B$5:$AA$26,MATCH(B57,'Note finale'!$B$5:$B$26,0),MATCH(E57,'Note finale'!$B$4:$AA$4,0))</f>
        <v>3.8745387453874539E-3</v>
      </c>
      <c r="G57" s="313"/>
      <c r="H57" s="17" t="s">
        <v>730</v>
      </c>
      <c r="I57" s="152" t="s">
        <v>458</v>
      </c>
      <c r="J57" s="17" t="s">
        <v>731</v>
      </c>
      <c r="K57" s="320"/>
      <c r="L57" s="355"/>
      <c r="M57" s="152"/>
      <c r="N57" s="16"/>
      <c r="O57" s="312"/>
    </row>
    <row r="58" spans="2:15" ht="38.25" x14ac:dyDescent="0.25">
      <c r="B58" s="310" t="s">
        <v>115</v>
      </c>
      <c r="C58" s="311">
        <v>32</v>
      </c>
      <c r="D58" s="313" t="str">
        <f>CONCATENATE('Liens axe 2'!$F$5," - ",VLOOKUP(C58,'Liens axe 2'!$E$6:$F$11,2,FALSE))</f>
        <v>Incinérateur - La qualité des mâchefers d'incinération des OMr produits permet après analyse et suivi de les valoriser dans une filière de TP, si possible de proximité.</v>
      </c>
      <c r="E58" s="313" t="s">
        <v>73</v>
      </c>
      <c r="F58" s="363">
        <f>INDEX('Note finale'!$B$5:$AA$26,MATCH(B58,'Note finale'!$B$5:$B$26,0),MATCH(E58,'Note finale'!$B$4:$AA$4,0))</f>
        <v>3.8745387453874539E-3</v>
      </c>
      <c r="G58" s="313"/>
      <c r="H58" s="17" t="s">
        <v>732</v>
      </c>
      <c r="I58" s="152" t="s">
        <v>421</v>
      </c>
      <c r="J58" s="17" t="s">
        <v>733</v>
      </c>
      <c r="K58" s="320"/>
      <c r="L58" s="355"/>
      <c r="M58" s="152"/>
      <c r="N58" s="16"/>
      <c r="O58" s="312"/>
    </row>
    <row r="59" spans="2:15" ht="38.25" x14ac:dyDescent="0.25">
      <c r="B59" s="310" t="s">
        <v>115</v>
      </c>
      <c r="C59" s="311">
        <v>33</v>
      </c>
      <c r="D59" s="313" t="str">
        <f>CONCATENATE('Liens axe 2'!$F$5," - ",VLOOKUP(C59,'Liens axe 2'!$E$6:$F$11,2,FALSE))</f>
        <v>Incinérateur - La performance énergétique de l'UIOM est supérieure à 0,6 (incinérateur construit avant fin 2008), supérieure à 0,65 (incinérateur construit après 2008).</v>
      </c>
      <c r="E59" s="313" t="s">
        <v>73</v>
      </c>
      <c r="F59" s="363">
        <f>INDEX('Note finale'!$B$5:$AA$26,MATCH(B59,'Note finale'!$B$5:$B$26,0),MATCH(E59,'Note finale'!$B$4:$AA$4,0))</f>
        <v>3.8745387453874539E-3</v>
      </c>
      <c r="G59" s="313"/>
      <c r="H59" s="17" t="s">
        <v>734</v>
      </c>
      <c r="I59" s="152" t="s">
        <v>408</v>
      </c>
      <c r="J59" s="17" t="s">
        <v>170</v>
      </c>
      <c r="K59" s="320" t="s">
        <v>409</v>
      </c>
      <c r="L59" s="355"/>
      <c r="M59" s="152"/>
      <c r="N59" s="16"/>
      <c r="O59" s="312"/>
    </row>
    <row r="60" spans="2:15" ht="38.25" x14ac:dyDescent="0.25">
      <c r="B60" s="310" t="s">
        <v>115</v>
      </c>
      <c r="C60" s="311">
        <v>34</v>
      </c>
      <c r="D60" s="313" t="str">
        <f>CONCATENATE('Liens axe 2'!$J$5," - ",VLOOKUP(C60,'Liens axe 2'!$I$6:$J$11,2,FALSE))</f>
        <v>Stockage - Les flux résiduels d'OMr et assimilés de la collectivité sont traités dans une installation de stockage sur son territoire répondant aux dernières normes en vigueur.</v>
      </c>
      <c r="E60" s="313" t="s">
        <v>73</v>
      </c>
      <c r="F60" s="363">
        <f>INDEX('Note finale'!$B$5:$AA$26,MATCH(B60,'Note finale'!$B$5:$B$26,0),MATCH(E60,'Note finale'!$B$4:$AA$4,0))</f>
        <v>3.8745387453874539E-3</v>
      </c>
      <c r="G60" s="313"/>
      <c r="H60" s="17" t="s">
        <v>735</v>
      </c>
      <c r="I60" s="152" t="s">
        <v>408</v>
      </c>
      <c r="J60" s="17" t="s">
        <v>736</v>
      </c>
      <c r="K60" s="320" t="s">
        <v>409</v>
      </c>
      <c r="L60" s="355"/>
      <c r="M60" s="152"/>
      <c r="N60" s="16"/>
      <c r="O60" s="312"/>
    </row>
    <row r="61" spans="2:15" ht="38.25" x14ac:dyDescent="0.25">
      <c r="B61" s="310" t="s">
        <v>115</v>
      </c>
      <c r="C61" s="311">
        <v>35</v>
      </c>
      <c r="D61" s="313" t="str">
        <f>CONCATENATE('Liens axe 2'!$J$5," - ",VLOOKUP(C61,'Liens axe 2'!$I$6:$J$11,2,FALSE))</f>
        <v>Stockage - Les centres de stockage du territoire et ceux utilisés par la collectivité font l'objet d'une valorisation du biogaz par cogénération ou par injection.</v>
      </c>
      <c r="E61" s="313" t="s">
        <v>73</v>
      </c>
      <c r="F61" s="363">
        <f>INDEX('Note finale'!$B$5:$AA$26,MATCH(B61,'Note finale'!$B$5:$B$26,0),MATCH(E61,'Note finale'!$B$4:$AA$4,0))</f>
        <v>3.8745387453874539E-3</v>
      </c>
      <c r="G61" s="313"/>
      <c r="H61" s="17" t="s">
        <v>714</v>
      </c>
      <c r="I61" s="152" t="s">
        <v>715</v>
      </c>
      <c r="J61" s="17" t="s">
        <v>716</v>
      </c>
      <c r="K61" s="320"/>
      <c r="L61" s="355"/>
      <c r="M61" s="152"/>
      <c r="N61" s="16"/>
      <c r="O61" s="312"/>
    </row>
    <row r="62" spans="2:15" ht="63.75" x14ac:dyDescent="0.25">
      <c r="B62" s="310" t="s">
        <v>115</v>
      </c>
      <c r="C62" s="311">
        <v>36</v>
      </c>
      <c r="D62" s="313" t="str">
        <f>CONCATENATE('Liens axe 2'!$J$5," - ",VLOOKUP(C62,'Liens axe 2'!$I$6:$J$11,2,FALSE))</f>
        <v xml:space="preserve">Stockage - Le captage du biogaz est optimisé : diminution des émissions en phase d'exploitation avant mise en œuvre des dispositifs définitifs de captage (captage précoce, optimisation de la durée d'exploitation des alvéoles ou casiers) et limitation des fuites aux parois du réseau, notamment par l'optimisation des dimensionnements des réseaux. </v>
      </c>
      <c r="E62" s="313" t="s">
        <v>73</v>
      </c>
      <c r="F62" s="363">
        <f>INDEX('Note finale'!$B$5:$AA$26,MATCH(B62,'Note finale'!$B$5:$B$26,0),MATCH(E62,'Note finale'!$B$4:$AA$4,0))</f>
        <v>3.8745387453874539E-3</v>
      </c>
      <c r="G62" s="313"/>
      <c r="H62" s="17" t="s">
        <v>737</v>
      </c>
      <c r="I62" s="152" t="s">
        <v>421</v>
      </c>
      <c r="J62" s="17" t="s">
        <v>738</v>
      </c>
      <c r="K62" s="320"/>
      <c r="L62" s="355"/>
      <c r="M62" s="152"/>
      <c r="N62" s="16"/>
      <c r="O62" s="312"/>
    </row>
    <row r="63" spans="2:15" ht="25.5" x14ac:dyDescent="0.25">
      <c r="B63" s="310" t="s">
        <v>115</v>
      </c>
      <c r="C63" s="311">
        <v>37</v>
      </c>
      <c r="D63" s="313" t="str">
        <f>CONCATENATE('Liens axe 2'!$J$5," - ",VLOOKUP(C63,'Liens axe 2'!$I$6:$J$11,2,FALSE))</f>
        <v>Stockage - Le taux de captage du biogaz et la valorisation du biogaz capté sont en amélioration par rapport aux années précédentes.</v>
      </c>
      <c r="E63" s="313" t="s">
        <v>73</v>
      </c>
      <c r="F63" s="363">
        <f>INDEX('Note finale'!$B$5:$AA$26,MATCH(B63,'Note finale'!$B$5:$B$26,0),MATCH(E63,'Note finale'!$B$4:$AA$4,0))</f>
        <v>3.8745387453874539E-3</v>
      </c>
      <c r="G63" s="313"/>
      <c r="H63" s="17" t="s">
        <v>739</v>
      </c>
      <c r="I63" s="152" t="s">
        <v>421</v>
      </c>
      <c r="J63" s="17" t="s">
        <v>740</v>
      </c>
      <c r="K63" s="320" t="s">
        <v>741</v>
      </c>
      <c r="L63" s="355"/>
      <c r="M63" s="152"/>
      <c r="N63" s="16"/>
      <c r="O63" s="312"/>
    </row>
    <row r="64" spans="2:15" ht="25.5" x14ac:dyDescent="0.25">
      <c r="B64" s="310" t="s">
        <v>115</v>
      </c>
      <c r="C64" s="311">
        <v>38</v>
      </c>
      <c r="D64" s="313" t="str">
        <f>CONCATENATE('Liens axe 2'!$J$5," - ",VLOOKUP(C64,'Liens axe 2'!$I$6:$J$11,2,FALSE))</f>
        <v>Stockage - Un controle des déchets entrants et une traçabilité des déchets stockés sont assurés.</v>
      </c>
      <c r="E64" s="313" t="s">
        <v>73</v>
      </c>
      <c r="F64" s="363">
        <f>INDEX('Note finale'!$B$5:$AA$26,MATCH(B64,'Note finale'!$B$5:$B$26,0),MATCH(E64,'Note finale'!$B$4:$AA$4,0))</f>
        <v>3.8745387453874539E-3</v>
      </c>
      <c r="G64" s="313"/>
      <c r="H64" s="17"/>
      <c r="I64" s="152"/>
      <c r="J64" s="17"/>
      <c r="K64" s="320"/>
      <c r="L64" s="355"/>
      <c r="M64" s="152"/>
      <c r="N64" s="16"/>
      <c r="O64" s="312"/>
    </row>
    <row r="65" spans="2:15" x14ac:dyDescent="0.25">
      <c r="B65" s="310" t="s">
        <v>115</v>
      </c>
      <c r="C65" s="311">
        <v>39</v>
      </c>
      <c r="D65" s="313" t="str">
        <f>CONCATENATE('Liens axe 2'!$J$5," - ",VLOOKUP(C65,'Liens axe 2'!$I$6:$J$11,2,FALSE))</f>
        <v>Stockage - Les lixiviats sont captés et traités</v>
      </c>
      <c r="E65" s="313" t="s">
        <v>73</v>
      </c>
      <c r="F65" s="363">
        <f>INDEX('Note finale'!$B$5:$AA$26,MATCH(B65,'Note finale'!$B$5:$B$26,0),MATCH(E65,'Note finale'!$B$4:$AA$4,0))</f>
        <v>3.8745387453874539E-3</v>
      </c>
      <c r="G65" s="313"/>
      <c r="H65" s="17" t="s">
        <v>743</v>
      </c>
      <c r="I65" s="152" t="s">
        <v>169</v>
      </c>
      <c r="J65" s="17" t="s">
        <v>742</v>
      </c>
      <c r="K65" s="320"/>
      <c r="L65" s="355"/>
      <c r="M65" s="152"/>
      <c r="N65" s="16"/>
      <c r="O65" s="312"/>
    </row>
    <row r="66" spans="2:15" ht="25.5" x14ac:dyDescent="0.25">
      <c r="B66" s="310" t="s">
        <v>115</v>
      </c>
      <c r="C66" s="311">
        <v>40</v>
      </c>
      <c r="D66" s="313" t="str">
        <f>CONCATENATE('Liens axe 2'!$N$5," - ",VLOOKUP(C66,'Liens axe 2'!$M$6:$N$9,2,FALSE))</f>
        <v>Unité de tri et/ou de démantèlement - Les centres de tri s'assurent de la qualité des déchets reçus et communiquent sur ce sujet.</v>
      </c>
      <c r="E66" s="313" t="s">
        <v>73</v>
      </c>
      <c r="F66" s="363">
        <f>INDEX('Note finale'!$B$5:$AA$26,MATCH(B66,'Note finale'!$B$5:$B$26,0),MATCH(E66,'Note finale'!$B$4:$AA$4,0))</f>
        <v>3.8745387453874539E-3</v>
      </c>
      <c r="G66" s="313"/>
      <c r="H66" s="17"/>
      <c r="I66" s="152"/>
      <c r="J66" s="17"/>
      <c r="K66" s="320"/>
      <c r="L66" s="355"/>
      <c r="M66" s="152"/>
      <c r="N66" s="16"/>
      <c r="O66" s="312"/>
    </row>
    <row r="67" spans="2:15" ht="25.5" x14ac:dyDescent="0.25">
      <c r="B67" s="310" t="s">
        <v>115</v>
      </c>
      <c r="C67" s="311">
        <v>41</v>
      </c>
      <c r="D67" s="313" t="str">
        <f>CONCATENATE('Liens axe 2'!$N$5," - ",VLOOKUP(C67,'Liens axe 2'!$M$6:$N$9,2,FALSE))</f>
        <v>Unité de tri et/ou de démantèlement - Les centres de démantèlement ont une performance qui inclut une part significative de réutilisation.</v>
      </c>
      <c r="E67" s="313" t="s">
        <v>73</v>
      </c>
      <c r="F67" s="363">
        <f>INDEX('Note finale'!$B$5:$AA$26,MATCH(B67,'Note finale'!$B$5:$B$26,0),MATCH(E67,'Note finale'!$B$4:$AA$4,0))</f>
        <v>3.8745387453874539E-3</v>
      </c>
      <c r="G67" s="313"/>
      <c r="H67" s="17" t="s">
        <v>744</v>
      </c>
      <c r="I67" s="152" t="s">
        <v>421</v>
      </c>
      <c r="J67" s="17" t="s">
        <v>745</v>
      </c>
      <c r="K67" s="320" t="s">
        <v>746</v>
      </c>
      <c r="L67" s="355"/>
      <c r="M67" s="152"/>
      <c r="N67" s="16"/>
      <c r="O67" s="312"/>
    </row>
    <row r="68" spans="2:15" ht="25.5" x14ac:dyDescent="0.25">
      <c r="B68" s="310" t="s">
        <v>115</v>
      </c>
      <c r="C68" s="311">
        <v>42</v>
      </c>
      <c r="D68" s="313" t="str">
        <f>CONCATENATE('Liens axe 2'!$N$5," - ",VLOOKUP(C68,'Liens axe 2'!$M$6:$N$9,2,FALSE))</f>
        <v>Unité de tri et/ou de démantèlement - Les taux de refus de tri diminuent par rapport à l'année précédente</v>
      </c>
      <c r="E68" s="313" t="s">
        <v>73</v>
      </c>
      <c r="F68" s="363">
        <f>INDEX('Note finale'!$B$5:$AA$26,MATCH(B68,'Note finale'!$B$5:$B$26,0),MATCH(E68,'Note finale'!$B$4:$AA$4,0))</f>
        <v>3.8745387453874539E-3</v>
      </c>
      <c r="G68" s="313"/>
      <c r="H68" s="17" t="s">
        <v>747</v>
      </c>
      <c r="I68" s="152" t="s">
        <v>421</v>
      </c>
      <c r="J68" s="17" t="s">
        <v>748</v>
      </c>
      <c r="K68" s="320"/>
      <c r="L68" s="355"/>
      <c r="M68" s="152"/>
      <c r="N68" s="16"/>
      <c r="O68" s="312"/>
    </row>
    <row r="69" spans="2:15" ht="25.5" x14ac:dyDescent="0.25">
      <c r="B69" s="310" t="s">
        <v>115</v>
      </c>
      <c r="C69" s="311">
        <v>43</v>
      </c>
      <c r="D69" s="313" t="str">
        <f>CONCATENATE('Liens axe 2'!$N$5," - ",VLOOKUP(C69,'Liens axe 2'!$M$6:$N$9,2,FALSE))</f>
        <v>Unité de tri et/ou de démantèlement - Le personnel est formé à la prévention et au recyclage des déchets.</v>
      </c>
      <c r="E69" s="313" t="s">
        <v>73</v>
      </c>
      <c r="F69" s="363">
        <f>INDEX('Note finale'!$B$5:$AA$26,MATCH(B69,'Note finale'!$B$5:$B$26,0),MATCH(E69,'Note finale'!$B$4:$AA$4,0))</f>
        <v>3.8745387453874539E-3</v>
      </c>
      <c r="G69" s="313"/>
      <c r="H69" s="17" t="s">
        <v>749</v>
      </c>
      <c r="I69" s="152" t="s">
        <v>421</v>
      </c>
      <c r="J69" s="17" t="s">
        <v>750</v>
      </c>
      <c r="K69" s="320" t="s">
        <v>421</v>
      </c>
      <c r="L69" s="355"/>
      <c r="M69" s="152"/>
      <c r="N69" s="16"/>
      <c r="O69" s="312"/>
    </row>
    <row r="70" spans="2:15" ht="51" x14ac:dyDescent="0.25">
      <c r="B70" s="310" t="s">
        <v>115</v>
      </c>
      <c r="C70" s="311">
        <v>44</v>
      </c>
      <c r="D70" s="313" t="str">
        <f>CONCATENATE('Liens axe 2'!$R$5," - ",VLOOKUP(C70,'Liens axe 2'!$Q$6:$S$13,2,FALSE))</f>
        <v>Unité de compostage - La collectivité veille à promouvoir les bonnes pratiques de compostage auprès des particuliers</v>
      </c>
      <c r="E70" s="313" t="s">
        <v>73</v>
      </c>
      <c r="F70" s="363">
        <f>INDEX('Note finale'!$B$5:$AA$26,MATCH(B70,'Note finale'!$B$5:$B$26,0),MATCH(E70,'Note finale'!$B$4:$AA$4,0))</f>
        <v>3.8745387453874539E-3</v>
      </c>
      <c r="G70" s="313"/>
      <c r="H70" s="17" t="s">
        <v>751</v>
      </c>
      <c r="I70" s="152" t="s">
        <v>408</v>
      </c>
      <c r="J70" s="17" t="s">
        <v>752</v>
      </c>
      <c r="K70" s="320"/>
      <c r="L70" s="355"/>
      <c r="M70" s="152"/>
      <c r="N70" s="16"/>
      <c r="O70" s="312"/>
    </row>
    <row r="71" spans="2:15" ht="38.25" x14ac:dyDescent="0.25">
      <c r="B71" s="310" t="s">
        <v>115</v>
      </c>
      <c r="C71" s="311">
        <v>45</v>
      </c>
      <c r="D71" s="313" t="str">
        <f>CONCATENATE('Liens axe 2'!$R$5," - ",VLOOKUP(C71,'Liens axe 2'!$Q$6:$S$13,2,FALSE))</f>
        <v>Unité de compostage - Pour les plateformes de compostage centralisé, les meilleures pratiques sont réalisées et formalisées (courbes de suivi des températures et de l'humidité, aération...)</v>
      </c>
      <c r="E71" s="313" t="s">
        <v>73</v>
      </c>
      <c r="F71" s="363">
        <f>INDEX('Note finale'!$B$5:$AA$26,MATCH(B71,'Note finale'!$B$5:$B$26,0),MATCH(E71,'Note finale'!$B$4:$AA$4,0))</f>
        <v>3.8745387453874539E-3</v>
      </c>
      <c r="G71" s="313"/>
      <c r="H71" s="17"/>
      <c r="I71" s="152"/>
      <c r="J71" s="17"/>
      <c r="K71" s="320"/>
      <c r="L71" s="355"/>
      <c r="M71" s="152"/>
      <c r="N71" s="16"/>
      <c r="O71" s="312"/>
    </row>
    <row r="72" spans="2:15" ht="38.25" x14ac:dyDescent="0.25">
      <c r="B72" s="310" t="s">
        <v>115</v>
      </c>
      <c r="C72" s="311">
        <v>46</v>
      </c>
      <c r="D72" s="313" t="str">
        <f>CONCATENATE('Liens axe 2'!$R$5," - ",VLOOKUP(C72,'Liens axe 2'!$Q$6:$S$13,2,FALSE))</f>
        <v xml:space="preserve">Unité de compostage - L'impact des déplacements engendrés pour l'acheminement des déchets verts est pris en compte (choix de la localisation...) </v>
      </c>
      <c r="E72" s="313" t="s">
        <v>73</v>
      </c>
      <c r="F72" s="363">
        <f>INDEX('Note finale'!$B$5:$AA$26,MATCH(B72,'Note finale'!$B$5:$B$26,0),MATCH(E72,'Note finale'!$B$4:$AA$4,0))</f>
        <v>3.8745387453874539E-3</v>
      </c>
      <c r="G72" s="313"/>
      <c r="H72" s="17"/>
      <c r="I72" s="152"/>
      <c r="J72" s="17"/>
      <c r="K72" s="320"/>
      <c r="L72" s="355"/>
      <c r="M72" s="152"/>
      <c r="N72" s="16"/>
      <c r="O72" s="312"/>
    </row>
    <row r="73" spans="2:15" ht="25.5" x14ac:dyDescent="0.25">
      <c r="B73" s="310" t="s">
        <v>115</v>
      </c>
      <c r="C73" s="311">
        <v>47</v>
      </c>
      <c r="D73" s="313" t="str">
        <f>CONCATENATE('Liens axe 2'!$R$5," - ",VLOOKUP(C73,'Liens axe 2'!$Q$6:$S$13,2,FALSE))</f>
        <v xml:space="preserve">Unité de compostage - Les déchets entrants font l'objet d'une collecte séparée.   </v>
      </c>
      <c r="E73" s="313" t="s">
        <v>73</v>
      </c>
      <c r="F73" s="363">
        <f>INDEX('Note finale'!$B$5:$AA$26,MATCH(B73,'Note finale'!$B$5:$B$26,0),MATCH(E73,'Note finale'!$B$4:$AA$4,0))</f>
        <v>3.8745387453874539E-3</v>
      </c>
      <c r="G73" s="313"/>
      <c r="H73" s="17" t="s">
        <v>726</v>
      </c>
      <c r="I73" s="152" t="s">
        <v>421</v>
      </c>
      <c r="J73" s="17" t="s">
        <v>753</v>
      </c>
      <c r="K73" s="320"/>
      <c r="L73" s="355"/>
      <c r="M73" s="152"/>
      <c r="N73" s="16"/>
      <c r="O73" s="312"/>
    </row>
    <row r="74" spans="2:15" x14ac:dyDescent="0.25">
      <c r="B74" s="310" t="s">
        <v>115</v>
      </c>
      <c r="C74" s="311">
        <v>48</v>
      </c>
      <c r="D74" s="313" t="str">
        <f>CONCATENATE('Liens axe 2'!$R$5," - ",VLOOKUP(C74,'Liens axe 2'!$Q$6:$S$13,2,FALSE))</f>
        <v>Unité de compostage - Les jus sont récupérés et traités.</v>
      </c>
      <c r="E74" s="313" t="s">
        <v>73</v>
      </c>
      <c r="F74" s="363">
        <f>INDEX('Note finale'!$B$5:$AA$26,MATCH(B74,'Note finale'!$B$5:$B$26,0),MATCH(E74,'Note finale'!$B$4:$AA$4,0))</f>
        <v>3.8745387453874539E-3</v>
      </c>
      <c r="G74" s="313"/>
      <c r="H74" s="17" t="s">
        <v>754</v>
      </c>
      <c r="I74" s="152" t="s">
        <v>458</v>
      </c>
      <c r="J74" s="17" t="s">
        <v>755</v>
      </c>
      <c r="K74" s="320"/>
      <c r="L74" s="355"/>
      <c r="M74" s="152"/>
      <c r="N74" s="16"/>
      <c r="O74" s="312"/>
    </row>
    <row r="75" spans="2:15" ht="25.5" x14ac:dyDescent="0.25">
      <c r="B75" s="310" t="s">
        <v>115</v>
      </c>
      <c r="C75" s="311">
        <v>49</v>
      </c>
      <c r="D75" s="313" t="str">
        <f>CONCATENATE('Liens axe 2'!$R$5," - ",VLOOKUP(C75,'Liens axe 2'!$Q$6:$S$13,2,FALSE))</f>
        <v>Unité de compostage - Les refus sont valorisés de manière appropriée (UTOM ou ISDND si pas d'UTOM)</v>
      </c>
      <c r="E75" s="313" t="s">
        <v>73</v>
      </c>
      <c r="F75" s="363">
        <f>INDEX('Note finale'!$B$5:$AA$26,MATCH(B75,'Note finale'!$B$5:$B$26,0),MATCH(E75,'Note finale'!$B$4:$AA$4,0))</f>
        <v>3.8745387453874539E-3</v>
      </c>
      <c r="G75" s="313"/>
      <c r="H75" s="17" t="s">
        <v>720</v>
      </c>
      <c r="I75" s="152" t="s">
        <v>458</v>
      </c>
      <c r="J75" s="17" t="s">
        <v>757</v>
      </c>
      <c r="K75" s="320"/>
      <c r="L75" s="355"/>
      <c r="M75" s="152"/>
      <c r="N75" s="16"/>
      <c r="O75" s="312"/>
    </row>
    <row r="76" spans="2:15" ht="38.25" x14ac:dyDescent="0.25">
      <c r="B76" s="310" t="s">
        <v>115</v>
      </c>
      <c r="C76" s="311">
        <v>50</v>
      </c>
      <c r="D76" s="313" t="str">
        <f>CONCATENATE('Liens axe 2'!$R$5," - ",VLOOKUP(C76,'Liens axe 2'!$Q$6:$S$13,2,FALSE))</f>
        <v>Unité de compostage - la plateforme de compostage dispose d'une certification (ex: label ASQA) ou alors le compost produit est conforme à la norme NFU 44-051</v>
      </c>
      <c r="E76" s="313" t="s">
        <v>73</v>
      </c>
      <c r="F76" s="363">
        <f>INDEX('Note finale'!$B$5:$AA$26,MATCH(B76,'Note finale'!$B$5:$B$26,0),MATCH(E76,'Note finale'!$B$4:$AA$4,0))</f>
        <v>3.8745387453874539E-3</v>
      </c>
      <c r="G76" s="313"/>
      <c r="H76" s="17" t="s">
        <v>756</v>
      </c>
      <c r="I76" s="152" t="s">
        <v>458</v>
      </c>
      <c r="J76" s="17" t="s">
        <v>761</v>
      </c>
      <c r="K76" s="320"/>
      <c r="L76" s="355"/>
      <c r="M76" s="152"/>
      <c r="N76" s="16"/>
      <c r="O76" s="312"/>
    </row>
    <row r="77" spans="2:15" ht="25.5" x14ac:dyDescent="0.25">
      <c r="B77" s="310" t="s">
        <v>115</v>
      </c>
      <c r="C77" s="311">
        <v>51</v>
      </c>
      <c r="D77" s="313" t="str">
        <f>CONCATENATE('Liens axe 2'!$R$5," - ",VLOOKUP(C77,'Liens axe 2'!$Q$6:$S$13,2,FALSE))</f>
        <v xml:space="preserve">Unité de compostage - La part de déchets organiques dans les OMR est en baisse </v>
      </c>
      <c r="E77" s="313" t="s">
        <v>73</v>
      </c>
      <c r="F77" s="363">
        <f>INDEX('Note finale'!$B$5:$AA$26,MATCH(B77,'Note finale'!$B$5:$B$26,0),MATCH(E77,'Note finale'!$B$4:$AA$4,0))</f>
        <v>3.8745387453874539E-3</v>
      </c>
      <c r="G77" s="313"/>
      <c r="H77" s="17" t="s">
        <v>758</v>
      </c>
      <c r="I77" s="152" t="s">
        <v>421</v>
      </c>
      <c r="J77" s="17" t="s">
        <v>759</v>
      </c>
      <c r="K77" s="320" t="s">
        <v>760</v>
      </c>
      <c r="L77" s="355"/>
      <c r="M77" s="152"/>
      <c r="N77" s="16"/>
      <c r="O77" s="312"/>
    </row>
    <row r="78" spans="2:15" ht="140.25" x14ac:dyDescent="0.25">
      <c r="B78" s="310" t="s">
        <v>122</v>
      </c>
      <c r="C78" s="311">
        <v>52</v>
      </c>
      <c r="D78" s="313" t="str">
        <f>VLOOKUP(C78,'Axe 2'!$D$77:$G$104,4,FALSE)</f>
        <v>La collectivité applique ou fait appliquer les prescriptions de la CARSAT et la DREAL pour les règles de sécurité attendues dans les déchèteries soit la mise en place :
* de solutions de garde-corps au droit des bennes pour les déchèteries avec quais.
* de locaux ou compartiments abrités des intempéries, fixes ou modulaires pour le stockage des DDS, et des  objets faisant l'objet d'une collecte "préservante".
* des dispositifs de sécurité incendie selon le classement des sites telle que le prévoit la réglementation ICPE.
* des dispositifs de sécurité pour lutter contre le vandalisme.</v>
      </c>
      <c r="E78" s="313" t="s">
        <v>67</v>
      </c>
      <c r="F78" s="363">
        <f>INDEX('Note finale'!$B$5:$AA$26,MATCH(B78,'Note finale'!$B$5:$B$26,0),MATCH(E78,'Note finale'!$B$4:$AA$4,0))</f>
        <v>1.2300123001230013E-3</v>
      </c>
      <c r="G78" s="313"/>
      <c r="H78" s="17" t="s">
        <v>449</v>
      </c>
      <c r="I78" s="330" t="s">
        <v>443</v>
      </c>
      <c r="J78" s="331" t="s">
        <v>450</v>
      </c>
      <c r="K78" s="320"/>
      <c r="L78" s="355" t="s">
        <v>447</v>
      </c>
      <c r="M78" s="330" t="s">
        <v>451</v>
      </c>
      <c r="N78" s="16" t="s">
        <v>452</v>
      </c>
      <c r="O78" s="312"/>
    </row>
    <row r="79" spans="2:15" ht="51" x14ac:dyDescent="0.25">
      <c r="B79" s="310" t="s">
        <v>122</v>
      </c>
      <c r="C79" s="311">
        <v>53</v>
      </c>
      <c r="D79" s="313" t="str">
        <f>VLOOKUP(C79,'Axe 2'!$D$77:$G$104,4,FALSE)</f>
        <v>Si la configuration territoriale le permet, la collectivité étudie les possibilités de réduction de la quantité de déchets transportés par route : augmentation de la part de déchets transportés par la voie d'eau et/ou la voie ferrée.</v>
      </c>
      <c r="E79" s="313" t="s">
        <v>67</v>
      </c>
      <c r="F79" s="363">
        <f>INDEX('Note finale'!$B$5:$AA$26,MATCH(B79,'Note finale'!$B$5:$B$26,0),MATCH(E79,'Note finale'!$B$4:$AA$4,0))</f>
        <v>1.2300123001230013E-3</v>
      </c>
      <c r="G79" s="313"/>
      <c r="H79" s="17" t="s">
        <v>847</v>
      </c>
      <c r="I79" s="330" t="s">
        <v>408</v>
      </c>
      <c r="J79" s="331" t="s">
        <v>845</v>
      </c>
      <c r="K79" s="381" t="s">
        <v>409</v>
      </c>
      <c r="L79" s="355" t="s">
        <v>457</v>
      </c>
      <c r="M79" s="330" t="s">
        <v>439</v>
      </c>
      <c r="N79" s="351" t="s">
        <v>460</v>
      </c>
      <c r="O79" s="312"/>
    </row>
    <row r="80" spans="2:15" ht="38.25" x14ac:dyDescent="0.25">
      <c r="B80" s="310" t="s">
        <v>122</v>
      </c>
      <c r="C80" s="311">
        <v>54</v>
      </c>
      <c r="D80" s="313" t="str">
        <f>VLOOKUP(C80,'Axe 2'!$D$77:$G$104,4,FALSE)</f>
        <v>Selon la configuration territoriale (distance entre les zones de collecte et les sites de traitement), la collectivité étudie la pertinence de la mise en place d'un centre de transfert.</v>
      </c>
      <c r="E80" s="313" t="s">
        <v>67</v>
      </c>
      <c r="F80" s="363">
        <f>INDEX('Note finale'!$B$5:$AA$26,MATCH(B80,'Note finale'!$B$5:$B$26,0),MATCH(E80,'Note finale'!$B$4:$AA$4,0))</f>
        <v>1.2300123001230013E-3</v>
      </c>
      <c r="G80" s="313"/>
      <c r="H80" s="17" t="s">
        <v>848</v>
      </c>
      <c r="I80" s="330" t="s">
        <v>408</v>
      </c>
      <c r="J80" s="331" t="s">
        <v>846</v>
      </c>
      <c r="K80" s="320" t="s">
        <v>409</v>
      </c>
      <c r="L80" s="355"/>
      <c r="M80" s="152"/>
      <c r="N80" s="16"/>
      <c r="O80" s="312"/>
    </row>
    <row r="81" spans="2:15" ht="38.25" x14ac:dyDescent="0.25">
      <c r="B81" s="310" t="s">
        <v>122</v>
      </c>
      <c r="C81" s="311">
        <v>55</v>
      </c>
      <c r="D81" s="332" t="str">
        <f>VLOOKUP(C81,'Axe 2'!$D$77:$G$104,4,FALSE)</f>
        <v>Les sites de traitement des déchets sont labellisés type ISO (processus d'amélioration continue). La triple certification (ISO 9001, 14001 ou 50001, 18001) est obtenue pour tous les sites.</v>
      </c>
      <c r="E81" s="313" t="s">
        <v>73</v>
      </c>
      <c r="F81" s="363">
        <f>INDEX('Note finale'!$B$5:$AA$26,MATCH(B81,'Note finale'!$B$5:$B$26,0),MATCH(E81,'Note finale'!$B$4:$AA$4,0))</f>
        <v>2.2140221402214021E-3</v>
      </c>
      <c r="G81" s="313"/>
      <c r="H81" s="17" t="s">
        <v>763</v>
      </c>
      <c r="I81" s="152" t="s">
        <v>408</v>
      </c>
      <c r="J81" s="17" t="s">
        <v>762</v>
      </c>
      <c r="K81" s="320" t="s">
        <v>409</v>
      </c>
      <c r="L81" s="355"/>
      <c r="M81" s="152"/>
      <c r="N81" s="16"/>
      <c r="O81" s="312"/>
    </row>
    <row r="82" spans="2:15" ht="63.75" x14ac:dyDescent="0.25">
      <c r="B82" s="310" t="s">
        <v>122</v>
      </c>
      <c r="C82" s="311">
        <v>56</v>
      </c>
      <c r="D82" s="332" t="str">
        <f>VLOOKUP(C82,'Axe 2'!$D$77:$G$104,4,FALSE)</f>
        <v>La collectivité introduit les recommandations de la CNAM/CARSAT  (R437) dans ses marchés de prestations et les applique, ou les fait appliquer, pour l'organisation des collectes soit l'application en régie ou via ses prestataires de :
* La collecte monolatérale sur toutes les voies en double sens.</v>
      </c>
      <c r="E82" s="313" t="s">
        <v>73</v>
      </c>
      <c r="F82" s="363">
        <f>INDEX('Note finale'!$B$5:$AA$26,MATCH(B82,'Note finale'!$B$5:$B$26,0),MATCH(E82,'Note finale'!$B$4:$AA$4,0))</f>
        <v>2.2140221402214021E-3</v>
      </c>
      <c r="G82" s="313"/>
      <c r="H82" s="17" t="s">
        <v>444</v>
      </c>
      <c r="I82" s="330" t="s">
        <v>443</v>
      </c>
      <c r="J82" s="331" t="s">
        <v>445</v>
      </c>
      <c r="K82" s="320" t="s">
        <v>446</v>
      </c>
      <c r="L82" s="355" t="s">
        <v>444</v>
      </c>
      <c r="M82" s="330" t="s">
        <v>447</v>
      </c>
      <c r="N82" s="351" t="s">
        <v>448</v>
      </c>
      <c r="O82" s="312"/>
    </row>
    <row r="83" spans="2:15" ht="38.25" x14ac:dyDescent="0.25">
      <c r="B83" s="310" t="s">
        <v>122</v>
      </c>
      <c r="C83" s="311">
        <v>57</v>
      </c>
      <c r="D83" s="332" t="str">
        <f>VLOOKUP(C83,'Axe 2'!$D$77:$G$104,4,FALSE)</f>
        <v>* L'interdiction des marche-arrières (compensées par des aires de retournement, des points de regroupement fixes ou dynamiques, des mini-bennes de collecte permettant une manœuvre de retournement,...).</v>
      </c>
      <c r="E83" s="313" t="s">
        <v>73</v>
      </c>
      <c r="F83" s="363">
        <f>INDEX('Note finale'!$B$5:$AA$26,MATCH(B83,'Note finale'!$B$5:$B$26,0),MATCH(E83,'Note finale'!$B$4:$AA$4,0))</f>
        <v>2.2140221402214021E-3</v>
      </c>
      <c r="G83" s="313"/>
      <c r="H83" s="382"/>
      <c r="I83" s="383"/>
      <c r="J83" s="276"/>
      <c r="K83" s="320"/>
      <c r="L83" s="355"/>
      <c r="M83" s="152"/>
      <c r="N83" s="16"/>
      <c r="O83" s="312"/>
    </row>
    <row r="84" spans="2:15" x14ac:dyDescent="0.25">
      <c r="B84" s="310" t="s">
        <v>122</v>
      </c>
      <c r="C84" s="311">
        <v>58</v>
      </c>
      <c r="D84" s="332" t="str">
        <f>VLOOKUP(C84,'Axe 2'!$D$77:$G$104,4,FALSE)</f>
        <v>* La suppression de la collecte en sac pour les OMR</v>
      </c>
      <c r="E84" s="313" t="s">
        <v>73</v>
      </c>
      <c r="F84" s="363">
        <f>INDEX('Note finale'!$B$5:$AA$26,MATCH(B84,'Note finale'!$B$5:$B$26,0),MATCH(E84,'Note finale'!$B$4:$AA$4,0))</f>
        <v>2.2140221402214021E-3</v>
      </c>
      <c r="G84" s="313"/>
      <c r="H84" s="17"/>
      <c r="I84" s="152"/>
      <c r="J84" s="17"/>
      <c r="K84" s="320"/>
      <c r="L84" s="355"/>
      <c r="M84" s="152"/>
      <c r="N84" s="16"/>
      <c r="O84" s="312"/>
    </row>
    <row r="85" spans="2:15" ht="25.5" x14ac:dyDescent="0.25">
      <c r="B85" s="310" t="s">
        <v>122</v>
      </c>
      <c r="C85" s="311">
        <v>59</v>
      </c>
      <c r="D85" s="332" t="str">
        <f>VLOOKUP(C85,'Axe 2'!$D$77:$G$104,4,FALSE)</f>
        <v>* L'interdiction du levage des bacs à la main (usage du peigne ou des bras DIN de la BOM,...)</v>
      </c>
      <c r="E85" s="313" t="s">
        <v>73</v>
      </c>
      <c r="F85" s="363">
        <f>INDEX('Note finale'!$B$5:$AA$26,MATCH(B85,'Note finale'!$B$5:$B$26,0),MATCH(E85,'Note finale'!$B$4:$AA$4,0))</f>
        <v>2.2140221402214021E-3</v>
      </c>
      <c r="G85" s="313"/>
      <c r="H85" s="17"/>
      <c r="I85" s="152"/>
      <c r="J85" s="17"/>
      <c r="K85" s="320"/>
      <c r="L85" s="355"/>
      <c r="M85" s="152"/>
      <c r="N85" s="16"/>
      <c r="O85" s="312"/>
    </row>
    <row r="86" spans="2:15" x14ac:dyDescent="0.25">
      <c r="B86" s="310" t="s">
        <v>122</v>
      </c>
      <c r="C86" s="311">
        <v>60</v>
      </c>
      <c r="D86" s="313" t="str">
        <f>VLOOKUP(C86,'Axe 2'!$D$77:$G$104,4,FALSE)</f>
        <v>* La suppression du fini-parti.</v>
      </c>
      <c r="E86" s="313" t="s">
        <v>73</v>
      </c>
      <c r="F86" s="363">
        <f>INDEX('Note finale'!$B$5:$AA$26,MATCH(B86,'Note finale'!$B$5:$B$26,0),MATCH(E86,'Note finale'!$B$4:$AA$4,0))</f>
        <v>2.2140221402214021E-3</v>
      </c>
      <c r="G86" s="313"/>
      <c r="H86" s="17"/>
      <c r="I86" s="152"/>
      <c r="J86" s="17"/>
      <c r="K86" s="320"/>
      <c r="L86" s="355"/>
      <c r="M86" s="152"/>
      <c r="N86" s="16"/>
      <c r="O86" s="312"/>
    </row>
    <row r="87" spans="2:15" ht="51" x14ac:dyDescent="0.25">
      <c r="B87" s="310" t="s">
        <v>122</v>
      </c>
      <c r="C87" s="311">
        <v>61</v>
      </c>
      <c r="D87" s="313" t="str">
        <f>VLOOKUP(C87,'Axe 2'!$D$77:$G$104,4,FALSE)</f>
        <v>Si cela est pertinent et si la configuration territoriale le permet, la collectivité a mis en place un ou plusieurs quais de transfert des déchets qui permettent de massifier le transport par camion de type semi-remorque</v>
      </c>
      <c r="E87" s="313" t="s">
        <v>73</v>
      </c>
      <c r="F87" s="363">
        <f>INDEX('Note finale'!$B$5:$AA$26,MATCH(B87,'Note finale'!$B$5:$B$26,0),MATCH(E87,'Note finale'!$B$4:$AA$4,0))</f>
        <v>2.2140221402214021E-3</v>
      </c>
      <c r="G87" s="313"/>
      <c r="H87" s="17" t="s">
        <v>453</v>
      </c>
      <c r="I87" s="330" t="s">
        <v>454</v>
      </c>
      <c r="J87" s="331" t="s">
        <v>455</v>
      </c>
      <c r="K87" s="320" t="s">
        <v>456</v>
      </c>
      <c r="L87" s="355"/>
      <c r="M87" s="152"/>
      <c r="N87" s="16"/>
      <c r="O87" s="312"/>
    </row>
    <row r="88" spans="2:15" ht="38.25" x14ac:dyDescent="0.25">
      <c r="B88" s="310" t="s">
        <v>122</v>
      </c>
      <c r="C88" s="311">
        <v>62</v>
      </c>
      <c r="D88" s="313" t="str">
        <f>VLOOKUP(C88,'Axe 2'!$D$77:$G$104,4,FALSE)</f>
        <v>Si cela est pertinent et si la configuration territoriale le permet, la collectivité a mis en place un report modal de transport des déchets via la voie d'eau et/ou la voie ferrée.</v>
      </c>
      <c r="E88" s="313" t="s">
        <v>73</v>
      </c>
      <c r="F88" s="363">
        <f>INDEX('Note finale'!$B$5:$AA$26,MATCH(B88,'Note finale'!$B$5:$B$26,0),MATCH(E88,'Note finale'!$B$4:$AA$4,0))</f>
        <v>2.2140221402214021E-3</v>
      </c>
      <c r="G88" s="313"/>
      <c r="H88" s="17" t="s">
        <v>457</v>
      </c>
      <c r="I88" s="330" t="s">
        <v>458</v>
      </c>
      <c r="J88" s="331" t="s">
        <v>459</v>
      </c>
      <c r="K88" s="320"/>
      <c r="L88" s="355"/>
      <c r="M88" s="152"/>
      <c r="N88" s="16"/>
      <c r="O88" s="312"/>
    </row>
    <row r="89" spans="2:15" ht="38.25" x14ac:dyDescent="0.25">
      <c r="B89" s="310" t="s">
        <v>122</v>
      </c>
      <c r="C89" s="311">
        <v>63</v>
      </c>
      <c r="D89" s="313" t="str">
        <f>VLOOKUP(C89,'Axe 2'!$D$77:$G$104,4,FALSE)</f>
        <v>La collectivité / les exploitants d'installation de traitement de déchets prennent en compte et limitent les nuisances olfactives générées par les activités réalisées.</v>
      </c>
      <c r="E89" s="313" t="s">
        <v>73</v>
      </c>
      <c r="F89" s="363">
        <f>INDEX('Note finale'!$B$5:$AA$26,MATCH(B89,'Note finale'!$B$5:$B$26,0),MATCH(E89,'Note finale'!$B$4:$AA$4,0))</f>
        <v>2.2140221402214021E-3</v>
      </c>
      <c r="G89" s="313"/>
      <c r="H89" s="17" t="s">
        <v>764</v>
      </c>
      <c r="I89" s="152" t="s">
        <v>408</v>
      </c>
      <c r="J89" s="17" t="s">
        <v>765</v>
      </c>
      <c r="K89" s="320"/>
      <c r="L89" s="355"/>
      <c r="M89" s="152"/>
      <c r="N89" s="16"/>
      <c r="O89" s="312"/>
    </row>
    <row r="90" spans="2:15" ht="89.25" x14ac:dyDescent="0.25">
      <c r="B90" s="310" t="s">
        <v>122</v>
      </c>
      <c r="C90" s="311">
        <v>64</v>
      </c>
      <c r="D90" s="313" t="str">
        <f>VLOOKUP(C90,'Axe 2'!$D$77:$G$104,4,FALSE)</f>
        <v>Une communication adéquate et spécifique est réalisée de manière simple et régulière pour montrer l'impact réel des sites sur l'environnement : par exemple, publication systématique des résultats des contrôles et mesures, règlementaires ou non ; mise en place d’un système de surveillance, d’un suivi d’indicateurs sur la qualité de l’environnement autour du centre ; information claire et pédagogique, directement et/ou via les supports d’information de la collectivité, etc.</v>
      </c>
      <c r="E90" s="313" t="s">
        <v>73</v>
      </c>
      <c r="F90" s="363">
        <f>INDEX('Note finale'!$B$5:$AA$26,MATCH(B90,'Note finale'!$B$5:$B$26,0),MATCH(E90,'Note finale'!$B$4:$AA$4,0))</f>
        <v>2.2140221402214021E-3</v>
      </c>
      <c r="G90" s="313"/>
      <c r="H90" s="17" t="s">
        <v>440</v>
      </c>
      <c r="I90" s="152" t="s">
        <v>441</v>
      </c>
      <c r="J90" s="17" t="s">
        <v>442</v>
      </c>
      <c r="K90" s="320"/>
      <c r="L90" s="355"/>
      <c r="M90" s="152"/>
      <c r="N90" s="16"/>
      <c r="O90" s="312"/>
    </row>
    <row r="91" spans="2:15" ht="25.5" x14ac:dyDescent="0.25">
      <c r="B91" s="310" t="s">
        <v>122</v>
      </c>
      <c r="C91" s="311">
        <v>65</v>
      </c>
      <c r="D91" s="313" t="str">
        <f>VLOOKUP(C91,'Axe 2'!$D$77:$G$104,4,FALSE)</f>
        <v>La collectivité effectue le suivi :
- du taux d'atteinte des objectifs fixés dans la LTECV ;</v>
      </c>
      <c r="E91" s="313" t="s">
        <v>75</v>
      </c>
      <c r="F91" s="363">
        <f>INDEX('Note finale'!$B$5:$AA$26,MATCH(B91,'Note finale'!$B$5:$B$26,0),MATCH(E91,'Note finale'!$B$4:$AA$4,0))</f>
        <v>1.8450184501845018E-3</v>
      </c>
      <c r="G91" s="313"/>
      <c r="H91" s="17" t="s">
        <v>768</v>
      </c>
      <c r="I91" s="152" t="s">
        <v>408</v>
      </c>
      <c r="J91" s="17" t="s">
        <v>774</v>
      </c>
      <c r="K91" s="320" t="s">
        <v>409</v>
      </c>
      <c r="L91" s="355"/>
      <c r="M91" s="152"/>
      <c r="N91" s="16"/>
      <c r="O91" s="312"/>
    </row>
    <row r="92" spans="2:15" ht="25.5" x14ac:dyDescent="0.25">
      <c r="B92" s="310" t="s">
        <v>122</v>
      </c>
      <c r="C92" s="311">
        <v>66</v>
      </c>
      <c r="D92" s="313" t="str">
        <f>VLOOKUP(C92,'Axe 2'!$D$77:$G$104,4,FALSE)</f>
        <v>- du taux de Troubles Musculo-Squelettiques chez les ripeurs ;</v>
      </c>
      <c r="E92" s="313" t="s">
        <v>75</v>
      </c>
      <c r="F92" s="363">
        <f>INDEX('Note finale'!$B$5:$AA$26,MATCH(B92,'Note finale'!$B$5:$B$26,0),MATCH(E92,'Note finale'!$B$4:$AA$4,0))</f>
        <v>1.8450184501845018E-3</v>
      </c>
      <c r="G92" s="313"/>
      <c r="H92" s="17" t="s">
        <v>769</v>
      </c>
      <c r="I92" s="152" t="s">
        <v>408</v>
      </c>
      <c r="J92" s="17" t="s">
        <v>775</v>
      </c>
      <c r="K92" s="320" t="s">
        <v>409</v>
      </c>
      <c r="L92" s="355"/>
      <c r="M92" s="152"/>
      <c r="N92" s="16"/>
      <c r="O92" s="312"/>
    </row>
    <row r="93" spans="2:15" ht="25.5" x14ac:dyDescent="0.25">
      <c r="B93" s="310" t="s">
        <v>122</v>
      </c>
      <c r="C93" s="311">
        <v>67</v>
      </c>
      <c r="D93" s="313" t="str">
        <f>VLOOKUP(C93,'Axe 2'!$D$77:$G$104,4,FALSE)</f>
        <v>- des risques sanitaires chez les salariés des UTOM mais aussi chez les riverains (études d'exposition à certains polluants)</v>
      </c>
      <c r="E93" s="313" t="s">
        <v>75</v>
      </c>
      <c r="F93" s="363">
        <f>INDEX('Note finale'!$B$5:$AA$26,MATCH(B93,'Note finale'!$B$5:$B$26,0),MATCH(E93,'Note finale'!$B$4:$AA$4,0))</f>
        <v>1.8450184501845018E-3</v>
      </c>
      <c r="G93" s="313"/>
      <c r="H93" s="17" t="s">
        <v>769</v>
      </c>
      <c r="I93" s="152" t="s">
        <v>408</v>
      </c>
      <c r="J93" s="17" t="s">
        <v>767</v>
      </c>
      <c r="K93" s="320" t="s">
        <v>409</v>
      </c>
      <c r="L93" s="355"/>
      <c r="M93" s="152"/>
      <c r="N93" s="16"/>
      <c r="O93" s="312"/>
    </row>
    <row r="94" spans="2:15" x14ac:dyDescent="0.25">
      <c r="B94" s="310" t="s">
        <v>122</v>
      </c>
      <c r="C94" s="311">
        <v>68</v>
      </c>
      <c r="D94" s="313" t="str">
        <f>VLOOKUP(C94,'Axe 2'!$D$77:$G$104,4,FALSE)</f>
        <v>- des taux d'accidents de la collecte et du traitement des déchets</v>
      </c>
      <c r="E94" s="313" t="s">
        <v>75</v>
      </c>
      <c r="F94" s="363">
        <f>INDEX('Note finale'!$B$5:$AA$26,MATCH(B94,'Note finale'!$B$5:$B$26,0),MATCH(E94,'Note finale'!$B$4:$AA$4,0))</f>
        <v>1.8450184501845018E-3</v>
      </c>
      <c r="G94" s="313"/>
      <c r="H94" s="17" t="s">
        <v>770</v>
      </c>
      <c r="I94" s="152" t="s">
        <v>408</v>
      </c>
      <c r="J94" s="17" t="s">
        <v>776</v>
      </c>
      <c r="K94" s="320" t="s">
        <v>409</v>
      </c>
      <c r="L94" s="355"/>
      <c r="M94" s="152"/>
      <c r="N94" s="16"/>
      <c r="O94" s="312"/>
    </row>
    <row r="95" spans="2:15" ht="25.5" x14ac:dyDescent="0.25">
      <c r="B95" s="310" t="s">
        <v>122</v>
      </c>
      <c r="C95" s="311">
        <v>69</v>
      </c>
      <c r="D95" s="313" t="str">
        <f>VLOOKUP(C95,'Axe 2'!$D$77:$G$104,4,FALSE)</f>
        <v>Des études environnementales sont réalisées (contamination potentielle de l'environnement)</v>
      </c>
      <c r="E95" s="313" t="s">
        <v>75</v>
      </c>
      <c r="F95" s="363">
        <f>INDEX('Note finale'!$B$5:$AA$26,MATCH(B95,'Note finale'!$B$5:$B$26,0),MATCH(E95,'Note finale'!$B$4:$AA$4,0))</f>
        <v>1.8450184501845018E-3</v>
      </c>
      <c r="G95" s="313"/>
      <c r="H95" s="17" t="s">
        <v>771</v>
      </c>
      <c r="I95" s="152" t="s">
        <v>408</v>
      </c>
      <c r="J95" s="17" t="s">
        <v>139</v>
      </c>
      <c r="K95" s="320" t="s">
        <v>409</v>
      </c>
      <c r="L95" s="355"/>
      <c r="M95" s="152"/>
      <c r="N95" s="16"/>
      <c r="O95" s="312"/>
    </row>
    <row r="96" spans="2:15" ht="51" x14ac:dyDescent="0.25">
      <c r="B96" s="310" t="s">
        <v>122</v>
      </c>
      <c r="C96" s="311">
        <v>70</v>
      </c>
      <c r="D96" s="313" t="str">
        <f>VLOOKUP(C96,'Axe 2'!$D$77:$G$104,4,FALSE)</f>
        <v>La collectivité se rapproche de l'ADEME ou de son conseil régional afin de réaliser, dans le cadre du rôle de planificateur de ces acteurs, une étude de comparaison des modalités de traitement des déchets (par le biais d'une ACV par exemple).</v>
      </c>
      <c r="E96" s="313" t="s">
        <v>75</v>
      </c>
      <c r="F96" s="363">
        <f>INDEX('Note finale'!$B$5:$AA$26,MATCH(B96,'Note finale'!$B$5:$B$26,0),MATCH(E96,'Note finale'!$B$4:$AA$4,0))</f>
        <v>1.8450184501845018E-3</v>
      </c>
      <c r="G96" s="313"/>
      <c r="H96" s="17" t="s">
        <v>772</v>
      </c>
      <c r="I96" s="152" t="s">
        <v>408</v>
      </c>
      <c r="J96" s="17" t="s">
        <v>773</v>
      </c>
      <c r="K96" s="320" t="s">
        <v>409</v>
      </c>
      <c r="L96" s="355"/>
      <c r="M96" s="152"/>
      <c r="N96" s="16"/>
      <c r="O96" s="312"/>
    </row>
    <row r="97" spans="2:15" ht="25.5" x14ac:dyDescent="0.25">
      <c r="B97" s="310" t="s">
        <v>140</v>
      </c>
      <c r="C97" s="311">
        <v>71</v>
      </c>
      <c r="D97" s="313" t="str">
        <f>VLOOKUP(C97,'Axe 2'!$D$77:$G$104,4,FALSE)</f>
        <v>La collectivité initie une démarche de gestion collective des déchets des entreprises.</v>
      </c>
      <c r="E97" s="313" t="s">
        <v>67</v>
      </c>
      <c r="F97" s="363">
        <f>INDEX('Note finale'!$B$5:$AA$26,MATCH(B97,'Note finale'!$B$5:$B$26,0),MATCH(E97,'Note finale'!$B$4:$AA$4,0))</f>
        <v>2.4600246002460025E-3</v>
      </c>
      <c r="G97" s="313"/>
      <c r="H97" s="17"/>
      <c r="I97" s="152"/>
      <c r="J97" s="17"/>
      <c r="K97" s="320"/>
      <c r="L97" s="355"/>
      <c r="M97" s="152"/>
      <c r="N97" s="16"/>
      <c r="O97" s="312"/>
    </row>
    <row r="98" spans="2:15" x14ac:dyDescent="0.25">
      <c r="B98" s="310" t="s">
        <v>140</v>
      </c>
      <c r="C98" s="311">
        <v>72</v>
      </c>
      <c r="D98" s="313" t="str">
        <f>VLOOKUP(C98,'Axe 2'!$D$77:$G$104,4,FALSE)</f>
        <v>La collectivité étudie la mise en place de la RS.</v>
      </c>
      <c r="E98" s="313" t="s">
        <v>67</v>
      </c>
      <c r="F98" s="363">
        <f>INDEX('Note finale'!$B$5:$AA$26,MATCH(B98,'Note finale'!$B$5:$B$26,0),MATCH(E98,'Note finale'!$B$4:$AA$4,0))</f>
        <v>2.4600246002460025E-3</v>
      </c>
      <c r="G98" s="313"/>
      <c r="H98" s="382" t="s">
        <v>849</v>
      </c>
      <c r="I98" s="383" t="s">
        <v>408</v>
      </c>
      <c r="J98" s="276" t="s">
        <v>850</v>
      </c>
      <c r="K98" s="320" t="s">
        <v>408</v>
      </c>
      <c r="L98" s="355"/>
      <c r="M98" s="152"/>
      <c r="N98" s="16"/>
      <c r="O98" s="312"/>
    </row>
    <row r="99" spans="2:15" ht="38.25" x14ac:dyDescent="0.25">
      <c r="B99" s="310" t="s">
        <v>140</v>
      </c>
      <c r="C99" s="311">
        <v>73</v>
      </c>
      <c r="D99" s="313" t="str">
        <f>VLOOKUP(C99,'Axe 2'!$D$77:$G$104,4,FALSE)</f>
        <v>La collectivité crée du lien avec les acteurs économiques du territoire pour favoriser les démarches de réduction et une meilleure valorisation des déchets de tout type</v>
      </c>
      <c r="E99" s="313" t="s">
        <v>67</v>
      </c>
      <c r="F99" s="363">
        <f>INDEX('Note finale'!$B$5:$AA$26,MATCH(B99,'Note finale'!$B$5:$B$26,0),MATCH(E99,'Note finale'!$B$4:$AA$4,0))</f>
        <v>2.4600246002460025E-3</v>
      </c>
      <c r="G99" s="313"/>
      <c r="H99" s="17"/>
      <c r="I99" s="152"/>
      <c r="J99" s="17"/>
      <c r="K99" s="320"/>
      <c r="L99" s="355"/>
      <c r="M99" s="152"/>
      <c r="N99" s="16"/>
      <c r="O99" s="312"/>
    </row>
    <row r="100" spans="2:15" ht="51" x14ac:dyDescent="0.25">
      <c r="B100" s="310" t="s">
        <v>140</v>
      </c>
      <c r="C100" s="311">
        <v>74</v>
      </c>
      <c r="D100" s="313" t="str">
        <f>VLOOKUP(C100,'Axe 2'!$D$77:$G$104,4,FALSE)</f>
        <v>La collectivité oriente les professionnels et leur propose l'ensemble des solutions de traitement de leurs déchets disponibles sur le territoire, y compris si ces solutions sont hors de leur périmètre SPPGD (renvoi vers les solutions privées)</v>
      </c>
      <c r="E100" s="313" t="s">
        <v>73</v>
      </c>
      <c r="F100" s="363">
        <f>INDEX('Note finale'!$B$5:$AA$26,MATCH(B100,'Note finale'!$B$5:$B$26,0),MATCH(E100,'Note finale'!$B$4:$AA$4,0))</f>
        <v>5.9040590405904066E-3</v>
      </c>
      <c r="G100" s="313"/>
      <c r="H100" s="17"/>
      <c r="I100" s="152"/>
      <c r="J100" s="17"/>
      <c r="K100" s="320"/>
      <c r="L100" s="355"/>
      <c r="M100" s="152"/>
      <c r="N100" s="16"/>
      <c r="O100" s="312"/>
    </row>
    <row r="101" spans="2:15" ht="51" x14ac:dyDescent="0.25">
      <c r="B101" s="310" t="s">
        <v>140</v>
      </c>
      <c r="C101" s="311">
        <v>75</v>
      </c>
      <c r="D101" s="313" t="str">
        <f>VLOOKUP(C101,'Axe 2'!$D$77:$G$104,4,FALSE)</f>
        <v>La collectivité a mis en place un service de collecte des déchets auprès des producteurs non ménagers assimilés tel que le permet le code général des collectivités territoriales et a en conséquence instauré une redevance spéciale ou une redevance générale.</v>
      </c>
      <c r="E101" s="313" t="s">
        <v>73</v>
      </c>
      <c r="F101" s="363">
        <f>INDEX('Note finale'!$B$5:$AA$26,MATCH(B101,'Note finale'!$B$5:$B$26,0),MATCH(E101,'Note finale'!$B$4:$AA$4,0))</f>
        <v>5.9040590405904066E-3</v>
      </c>
      <c r="G101" s="313"/>
      <c r="H101" s="331" t="s">
        <v>461</v>
      </c>
      <c r="I101" s="330" t="s">
        <v>40</v>
      </c>
      <c r="J101" s="331" t="s">
        <v>777</v>
      </c>
      <c r="K101" s="320" t="s">
        <v>462</v>
      </c>
      <c r="L101" s="355"/>
      <c r="M101" s="152" t="s">
        <v>458</v>
      </c>
      <c r="N101" s="16" t="s">
        <v>778</v>
      </c>
      <c r="O101" s="312"/>
    </row>
    <row r="102" spans="2:15" ht="38.25" x14ac:dyDescent="0.25">
      <c r="B102" s="310" t="s">
        <v>140</v>
      </c>
      <c r="C102" s="311">
        <v>76</v>
      </c>
      <c r="D102" s="313" t="str">
        <f>VLOOKUP(C102,'Axe 2'!$D$77:$G$104,4,FALSE)</f>
        <v>La collectivité propose un service de conseil aux entreprises (via des chargés de communication ou des ambassadeurs) en vue de les conseiller pour mieux trier et maîtriser leur facture de RS.</v>
      </c>
      <c r="E102" s="313" t="s">
        <v>73</v>
      </c>
      <c r="F102" s="363">
        <f>INDEX('Note finale'!$B$5:$AA$26,MATCH(B102,'Note finale'!$B$5:$B$26,0),MATCH(E102,'Note finale'!$B$4:$AA$4,0))</f>
        <v>5.9040590405904066E-3</v>
      </c>
      <c r="G102" s="313"/>
      <c r="H102" s="17"/>
      <c r="I102" s="152"/>
      <c r="J102" s="17"/>
      <c r="K102" s="320"/>
      <c r="L102" s="355"/>
      <c r="M102" s="152"/>
      <c r="N102" s="16"/>
      <c r="O102" s="312"/>
    </row>
    <row r="103" spans="2:15" ht="63.75" x14ac:dyDescent="0.25">
      <c r="B103" s="310" t="s">
        <v>140</v>
      </c>
      <c r="C103" s="311">
        <v>77</v>
      </c>
      <c r="D103" s="313" t="str">
        <f>VLOOKUP(C103,'Axe 2'!$D$77:$G$104,4,FALSE)</f>
        <v xml:space="preserve">La collectivité traite (ou soutient des opérations de traitement) des matériaux qu'elle réceptionne sur ses déchèteries et développe une offre de matériaux recyclés (granulats de bétons ou briques concassés / criblés, compost, broyats de bois, terres végétales…) pour les acteurs économiques de son territoire. </v>
      </c>
      <c r="E103" s="313" t="s">
        <v>73</v>
      </c>
      <c r="F103" s="363">
        <f>INDEX('Note finale'!$B$5:$AA$26,MATCH(B103,'Note finale'!$B$5:$B$26,0),MATCH(E103,'Note finale'!$B$4:$AA$4,0))</f>
        <v>5.9040590405904066E-3</v>
      </c>
      <c r="G103" s="313"/>
      <c r="H103" s="17" t="s">
        <v>465</v>
      </c>
      <c r="I103" s="330" t="s">
        <v>40</v>
      </c>
      <c r="J103" s="331" t="s">
        <v>466</v>
      </c>
      <c r="K103" s="320" t="s">
        <v>463</v>
      </c>
      <c r="L103" s="355" t="s">
        <v>465</v>
      </c>
      <c r="M103" s="330" t="s">
        <v>464</v>
      </c>
      <c r="N103" s="351" t="s">
        <v>779</v>
      </c>
      <c r="O103" s="312"/>
    </row>
    <row r="104" spans="2:15" ht="63.75" x14ac:dyDescent="0.25">
      <c r="B104" s="314" t="s">
        <v>140</v>
      </c>
      <c r="C104" s="311">
        <v>78</v>
      </c>
      <c r="D104" s="316" t="str">
        <f>VLOOKUP(C104,'Axe 2'!$D$77:$G$104,4,FALSE)</f>
        <v>La collectivité a réalisé et déploie un plan d'actions (en lien avec le plan de prévention) comportant des actions dédiées ou en synergie avec les entreprises de son territoire. Ce plan implique les associations de consommateurs et environnementales en lien avec la distribution pour encourager la réduction des déchets ménagers.</v>
      </c>
      <c r="E104" s="316" t="s">
        <v>73</v>
      </c>
      <c r="F104" s="364">
        <f>INDEX('Note finale'!$B$5:$AA$26,MATCH(B104,'Note finale'!$B$5:$B$26,0),MATCH(E104,'Note finale'!$B$4:$AA$4,0))</f>
        <v>5.9040590405904066E-3</v>
      </c>
      <c r="G104" s="316"/>
      <c r="H104" s="317" t="s">
        <v>851</v>
      </c>
      <c r="I104" s="153" t="s">
        <v>467</v>
      </c>
      <c r="J104" s="317" t="s">
        <v>852</v>
      </c>
      <c r="K104" s="321"/>
      <c r="L104" s="356" t="s">
        <v>851</v>
      </c>
      <c r="M104" s="153" t="s">
        <v>418</v>
      </c>
      <c r="N104" s="348" t="s">
        <v>853</v>
      </c>
      <c r="O104" s="318"/>
    </row>
    <row r="105" spans="2:15" s="394" customFormat="1" x14ac:dyDescent="0.25">
      <c r="B105" s="344"/>
      <c r="C105" s="344"/>
      <c r="D105" s="345"/>
      <c r="E105" s="345"/>
      <c r="F105" s="366"/>
      <c r="G105" s="345"/>
      <c r="H105" s="346"/>
      <c r="I105" s="347"/>
      <c r="J105" s="346"/>
      <c r="K105" s="347"/>
      <c r="L105" s="352"/>
      <c r="M105" s="347"/>
      <c r="N105" s="352"/>
      <c r="O105" s="347"/>
    </row>
    <row r="106" spans="2:15" ht="76.5" x14ac:dyDescent="0.25">
      <c r="B106" s="305" t="s">
        <v>172</v>
      </c>
      <c r="C106" s="306">
        <v>1</v>
      </c>
      <c r="D106" s="307" t="str">
        <f>VLOOKUP(C106,'Axe 3'!$D$6:$G$56,4,FALSE)</f>
        <v>Le diagnostic de l'économie circulaire réalisé dans l'orientation 1.1 est détaillé pour les filières à enjeux identifiées sur le territoire :
- identification précise des gisements et des approvisionnements
- recensement exhaustif des acteurs et initiatives de l'EC
- identification des opportunités de développement et de partenariat (lien axe 5)</v>
      </c>
      <c r="E106" s="307" t="s">
        <v>67</v>
      </c>
      <c r="F106" s="362">
        <f>INDEX('Note finale'!$B$5:$AA$26,MATCH(B106,'Note finale'!$B$5:$B$26,0),MATCH(E106,'Note finale'!$B$4:$AA$4,0))</f>
        <v>1.6605166051660517E-2</v>
      </c>
      <c r="G106" s="307"/>
      <c r="H106" s="51" t="s">
        <v>855</v>
      </c>
      <c r="I106" s="151" t="s">
        <v>408</v>
      </c>
      <c r="J106" s="51" t="s">
        <v>856</v>
      </c>
      <c r="K106" s="319" t="s">
        <v>409</v>
      </c>
      <c r="L106" s="354"/>
      <c r="M106" s="151"/>
      <c r="N106" s="51"/>
      <c r="O106" s="309"/>
    </row>
    <row r="107" spans="2:15" ht="63.75" x14ac:dyDescent="0.25">
      <c r="B107" s="310" t="s">
        <v>172</v>
      </c>
      <c r="C107" s="311">
        <v>2</v>
      </c>
      <c r="D107" s="313" t="str">
        <f>VLOOKUP(C107,'Axe 3'!$D$6:$G$56,4,FALSE)</f>
        <v>La collectivité identifie les actions spécifiques visant à développer une ou plusieurs filières à enjeu sur son territoire. Elle peut s'appuyer sur des éléments de méthode définit dans l'onglet "trame filière" ou bien de manière plus spécifique s'inspirer des onglets "alimentation" ou "(dé)construction et aménagement" si elle est concernée</v>
      </c>
      <c r="E107" s="313" t="s">
        <v>67</v>
      </c>
      <c r="F107" s="363">
        <f>INDEX('Note finale'!$B$5:$AA$26,MATCH(B107,'Note finale'!$B$5:$B$26,0),MATCH(E107,'Note finale'!$B$4:$AA$4,0))</f>
        <v>1.6605166051660517E-2</v>
      </c>
      <c r="G107" s="313"/>
      <c r="H107" s="16"/>
      <c r="I107" s="330"/>
      <c r="J107" s="16"/>
      <c r="K107" s="320"/>
      <c r="L107" s="355"/>
      <c r="M107" s="152"/>
      <c r="N107" s="16"/>
      <c r="O107" s="312"/>
    </row>
    <row r="108" spans="2:15" ht="76.5" x14ac:dyDescent="0.25">
      <c r="B108" s="310" t="s">
        <v>172</v>
      </c>
      <c r="C108" s="311">
        <v>3</v>
      </c>
      <c r="D108" s="313" t="str">
        <f>VLOOKUP(C108,'Axe 3'!$D$6:$G$56,4,FALSE)</f>
        <v>La collectivité met en œuvre un plan d'actions spécifique (y compris les partenariats associés) autour d'une filière à enjeu sur son territoire. Elle peut s'appuyer sur des éléments de méthode définit dans l'onglet facultatif ou bien de manière plus spécifique s'inspirer des onglets "alimentation" ou "(dé)construction et aménagement" si elle est concernée</v>
      </c>
      <c r="E108" s="313" t="s">
        <v>73</v>
      </c>
      <c r="F108" s="363">
        <f>INDEX('Note finale'!$B$5:$AA$26,MATCH(B108,'Note finale'!$B$5:$B$26,0),MATCH(E108,'Note finale'!$B$4:$AA$4,0))</f>
        <v>2.2140221402214021E-2</v>
      </c>
      <c r="G108" s="313"/>
      <c r="H108" s="16" t="s">
        <v>857</v>
      </c>
      <c r="I108" s="330" t="s">
        <v>408</v>
      </c>
      <c r="J108" s="16" t="s">
        <v>858</v>
      </c>
      <c r="K108" s="320" t="s">
        <v>409</v>
      </c>
      <c r="L108" s="355"/>
      <c r="M108" s="152"/>
      <c r="N108" s="16"/>
      <c r="O108" s="312"/>
    </row>
    <row r="109" spans="2:15" ht="38.25" x14ac:dyDescent="0.25">
      <c r="B109" s="310" t="s">
        <v>175</v>
      </c>
      <c r="C109" s="311">
        <v>4</v>
      </c>
      <c r="D109" s="313" t="str">
        <f>VLOOKUP(C109,'Axe 3'!$D$6:$G$56,4,FALSE)</f>
        <v>En lien avec le diagnostic de l'économie circulaire réalisé sur le territoire (orientation 1.1), la collectivité identifie des axes prioritaires pour sa politique d'achats</v>
      </c>
      <c r="E109" s="313" t="s">
        <v>67</v>
      </c>
      <c r="F109" s="363">
        <f>INDEX('Note finale'!$B$5:$AA$26,MATCH(B109,'Note finale'!$B$5:$B$26,0),MATCH(E109,'Note finale'!$B$4:$AA$4,0))</f>
        <v>1.5814443858724301E-3</v>
      </c>
      <c r="G109" s="313"/>
      <c r="H109" s="16"/>
      <c r="I109" s="351"/>
      <c r="J109" s="16"/>
      <c r="K109" s="320"/>
      <c r="L109" s="355"/>
      <c r="M109" s="152"/>
      <c r="N109" s="16"/>
      <c r="O109" s="312"/>
    </row>
    <row r="110" spans="2:15" ht="25.5" x14ac:dyDescent="0.25">
      <c r="B110" s="310" t="s">
        <v>175</v>
      </c>
      <c r="C110" s="311">
        <v>5</v>
      </c>
      <c r="D110" s="313" t="str">
        <f>VLOOKUP(C110,'Axe 3'!$D$6:$G$56,4,FALSE)</f>
        <v xml:space="preserve">Un diagnostic du gaspillage alimentaire est réalisé dans tous les établissements publics de restauration collective </v>
      </c>
      <c r="E110" s="313" t="s">
        <v>67</v>
      </c>
      <c r="F110" s="363">
        <f>INDEX('Note finale'!$B$5:$AA$26,MATCH(B110,'Note finale'!$B$5:$B$26,0),MATCH(E110,'Note finale'!$B$4:$AA$4,0))</f>
        <v>1.5814443858724301E-3</v>
      </c>
      <c r="G110" s="313"/>
      <c r="H110" s="17" t="s">
        <v>475</v>
      </c>
      <c r="I110" s="152" t="s">
        <v>421</v>
      </c>
      <c r="J110" s="331" t="s">
        <v>476</v>
      </c>
      <c r="K110" s="320" t="s">
        <v>477</v>
      </c>
      <c r="L110" s="355"/>
      <c r="M110" s="152"/>
      <c r="N110" s="16"/>
      <c r="O110" s="312"/>
    </row>
    <row r="111" spans="2:15" ht="63.75" x14ac:dyDescent="0.25">
      <c r="B111" s="310" t="s">
        <v>175</v>
      </c>
      <c r="C111" s="311">
        <v>6</v>
      </c>
      <c r="D111" s="313" t="str">
        <f>VLOOKUP(C111,'Axe 3'!$D$6:$G$56,4,FALSE)</f>
        <v>Pour les volumes d'achats les plus importants, une analyse complète est réalisée :
- cartographie des achats
- identification d'opportunités pour introduire dans la commande les piliers de l'économie circulaire</v>
      </c>
      <c r="E111" s="313" t="s">
        <v>67</v>
      </c>
      <c r="F111" s="363">
        <f>INDEX('Note finale'!$B$5:$AA$26,MATCH(B111,'Note finale'!$B$5:$B$26,0),MATCH(E111,'Note finale'!$B$4:$AA$4,0))</f>
        <v>1.5814443858724301E-3</v>
      </c>
      <c r="G111" s="313"/>
      <c r="H111" s="17" t="s">
        <v>472</v>
      </c>
      <c r="I111" s="152" t="s">
        <v>408</v>
      </c>
      <c r="J111" s="331" t="s">
        <v>798</v>
      </c>
      <c r="K111" s="320"/>
      <c r="L111" s="355" t="s">
        <v>799</v>
      </c>
      <c r="M111" s="152" t="s">
        <v>40</v>
      </c>
      <c r="N111" s="16" t="s">
        <v>800</v>
      </c>
      <c r="O111" s="312"/>
    </row>
    <row r="112" spans="2:15" ht="38.25" x14ac:dyDescent="0.25">
      <c r="B112" s="310" t="s">
        <v>175</v>
      </c>
      <c r="C112" s="311">
        <v>7</v>
      </c>
      <c r="D112" s="313" t="str">
        <f>VLOOKUP(C112,'Axe 3'!$D$6:$G$56,4,FALSE)</f>
        <v>La collectivité et ses groupements s'engagent à diminuer de 30 %, avant 2020, leur consommation de papier bureautique en mettant en place un plan de prévention en ce sens.</v>
      </c>
      <c r="E112" s="313" t="s">
        <v>67</v>
      </c>
      <c r="F112" s="363">
        <f>INDEX('Note finale'!$B$5:$AA$26,MATCH(B112,'Note finale'!$B$5:$B$26,0),MATCH(E112,'Note finale'!$B$4:$AA$4,0))</f>
        <v>1.5814443858724301E-3</v>
      </c>
      <c r="G112" s="313"/>
      <c r="H112" s="17" t="s">
        <v>801</v>
      </c>
      <c r="I112" s="152" t="s">
        <v>408</v>
      </c>
      <c r="J112" s="331" t="s">
        <v>802</v>
      </c>
      <c r="K112" s="320"/>
      <c r="L112" s="355"/>
      <c r="M112" s="152"/>
      <c r="N112" s="16"/>
      <c r="O112" s="312"/>
    </row>
    <row r="113" spans="2:15" ht="38.25" x14ac:dyDescent="0.25">
      <c r="B113" s="310" t="s">
        <v>175</v>
      </c>
      <c r="C113" s="311">
        <v>8</v>
      </c>
      <c r="D113" s="313" t="str">
        <f>VLOOKUP(C113,'Axe 3'!$D$6:$G$56,4,FALSE)</f>
        <v>Si un réseau d'acheteurs "Commande publique et développement durable" existe sur son territoire, ses acheteurs participent aux travaux de partage des connaisances avec ses pairs.</v>
      </c>
      <c r="E113" s="313" t="s">
        <v>67</v>
      </c>
      <c r="F113" s="363">
        <f>INDEX('Note finale'!$B$5:$AA$26,MATCH(B113,'Note finale'!$B$5:$B$26,0),MATCH(E113,'Note finale'!$B$4:$AA$4,0))</f>
        <v>1.5814443858724301E-3</v>
      </c>
      <c r="G113" s="313"/>
      <c r="H113" s="17"/>
      <c r="I113" s="152"/>
      <c r="J113" s="331"/>
      <c r="K113" s="320"/>
      <c r="L113" s="355"/>
      <c r="M113" s="152"/>
      <c r="N113" s="16"/>
      <c r="O113" s="312"/>
    </row>
    <row r="114" spans="2:15" ht="38.25" x14ac:dyDescent="0.25">
      <c r="B114" s="310" t="s">
        <v>175</v>
      </c>
      <c r="C114" s="311">
        <v>9</v>
      </c>
      <c r="D114" s="313" t="str">
        <f>VLOOKUP(C114,'Axe 3'!$D$6:$G$56,4,FALSE)</f>
        <v>Si le montant annuel des achats de la collectivité dépasse 100 millions d'euros, la collectivité adopte un Schéma de Promotion des Achats Publics Socialement et Ecologiquement Responsables (SPASER)</v>
      </c>
      <c r="E114" s="313" t="s">
        <v>67</v>
      </c>
      <c r="F114" s="363">
        <f>INDEX('Note finale'!$B$5:$AA$26,MATCH(B114,'Note finale'!$B$5:$B$26,0),MATCH(E114,'Note finale'!$B$4:$AA$4,0))</f>
        <v>1.5814443858724301E-3</v>
      </c>
      <c r="G114" s="313"/>
      <c r="H114" s="17"/>
      <c r="I114" s="152"/>
      <c r="J114" s="331"/>
      <c r="K114" s="320"/>
      <c r="L114" s="355"/>
      <c r="M114" s="152"/>
      <c r="N114" s="16"/>
      <c r="O114" s="312"/>
    </row>
    <row r="115" spans="2:15" ht="89.25" x14ac:dyDescent="0.25">
      <c r="B115" s="310" t="s">
        <v>175</v>
      </c>
      <c r="C115" s="311">
        <v>10</v>
      </c>
      <c r="D115" s="313" t="str">
        <f>VLOOKUP(C115,'Axe 3'!$D$6:$G$56,4,FALSE)</f>
        <v>La collectivité impose les critères environnementaux suivants (obligation règlementaire) :
- 25% au moins (40% à partir du 1er janvier 2020) des produits papetiers, articles de papeterie à base de fibres et imprimés sont fabriqués à partir de papier recyclé ;
- Les autres produits papetiers, articles de papeterie à base de fibres et imprimés sont issus de forêts gérées durablement.</v>
      </c>
      <c r="E115" s="313" t="s">
        <v>67</v>
      </c>
      <c r="F115" s="363">
        <f>INDEX('Note finale'!$B$5:$AA$26,MATCH(B115,'Note finale'!$B$5:$B$26,0),MATCH(E115,'Note finale'!$B$4:$AA$4,0))</f>
        <v>1.5814443858724301E-3</v>
      </c>
      <c r="G115" s="313"/>
      <c r="H115" s="355"/>
      <c r="I115" s="152"/>
      <c r="J115" s="331"/>
      <c r="K115" s="320"/>
      <c r="L115" s="355"/>
      <c r="M115" s="152"/>
      <c r="N115" s="16"/>
      <c r="O115" s="312"/>
    </row>
    <row r="116" spans="2:15" ht="25.5" x14ac:dyDescent="0.25">
      <c r="B116" s="310" t="s">
        <v>175</v>
      </c>
      <c r="C116" s="311">
        <v>11</v>
      </c>
      <c r="D116" s="313" t="str">
        <f>VLOOKUP(C116,'Axe 3'!$D$6:$G$56,4,FALSE)</f>
        <v>Le service développement économique de la collectivité promeut et anime les activités de réparation sur le territoire</v>
      </c>
      <c r="E116" s="313" t="s">
        <v>67</v>
      </c>
      <c r="F116" s="363">
        <f>INDEX('Note finale'!$B$5:$AA$26,MATCH(B116,'Note finale'!$B$5:$B$26,0),MATCH(E116,'Note finale'!$B$4:$AA$4,0))</f>
        <v>1.5814443858724301E-3</v>
      </c>
      <c r="G116" s="313"/>
      <c r="H116" s="338" t="s">
        <v>805</v>
      </c>
      <c r="I116" s="152"/>
      <c r="J116" s="338" t="s">
        <v>803</v>
      </c>
      <c r="K116" s="320"/>
      <c r="L116" s="355" t="s">
        <v>805</v>
      </c>
      <c r="M116" s="152" t="s">
        <v>40</v>
      </c>
      <c r="N116" s="16" t="s">
        <v>804</v>
      </c>
      <c r="O116" s="312"/>
    </row>
    <row r="117" spans="2:15" ht="165.75" x14ac:dyDescent="0.25">
      <c r="B117" s="310" t="s">
        <v>175</v>
      </c>
      <c r="C117" s="311">
        <v>12</v>
      </c>
      <c r="D117" s="313" t="str">
        <f>VLOOKUP(C117,'Axe 3'!$D$6:$G$56,4,FALSE)</f>
        <v>La collectivité intègre des critères sociaux et environnementaux dans ses marchés les plus importants en volume (principales opportunités et marchés à forts enjeux)  :
-en maîtrise d'ouvrage et sur les appels d'offre d'aménagement du territoire / d'architecture / de déconstruction et de rénovation ;
-les marchés portant sur la restauration collective (approvisionnements bio, locaux…) ;
-les marchés portant sur les autres fournitures de la collectivité (matériel de bureaux, produits ménagers, jardins, papier...).
La collectivité intègre également des critères relatifs à un approvisionnement plus durable dans les prestations alimentaires occassionnelles de la collectivité (séminaires, réunions etc...) notamment produits locaux, bios, de qualité...</v>
      </c>
      <c r="E117" s="313" t="s">
        <v>73</v>
      </c>
      <c r="F117" s="363">
        <f>INDEX('Note finale'!$B$5:$AA$26,MATCH(B117,'Note finale'!$B$5:$B$26,0),MATCH(E117,'Note finale'!$B$4:$AA$4,0))</f>
        <v>4.8431734317343177E-3</v>
      </c>
      <c r="G117" s="313"/>
      <c r="H117" s="338" t="s">
        <v>859</v>
      </c>
      <c r="I117" s="152"/>
      <c r="J117" s="331" t="s">
        <v>854</v>
      </c>
      <c r="K117" s="320" t="s">
        <v>474</v>
      </c>
      <c r="L117" s="355"/>
      <c r="M117" s="152"/>
      <c r="N117" s="16"/>
      <c r="O117" s="312"/>
    </row>
    <row r="118" spans="2:15" ht="51" x14ac:dyDescent="0.25">
      <c r="B118" s="310" t="s">
        <v>175</v>
      </c>
      <c r="C118" s="311">
        <v>13</v>
      </c>
      <c r="D118" s="313" t="str">
        <f>VLOOKUP(C118,'Axe 3'!$D$6:$G$56,4,FALSE)</f>
        <v>La collectivité inclut des clauses spécifiques aux activités de l'ESS dans ses marchés publics et/ou allotit ses marchés (décomposition en plusieurs lots qui seront attribués distinctement : cela permet aux structures de petite taille de répondre aux appels d'offre).</v>
      </c>
      <c r="E118" s="313" t="s">
        <v>73</v>
      </c>
      <c r="F118" s="363">
        <f>INDEX('Note finale'!$B$5:$AA$26,MATCH(B118,'Note finale'!$B$5:$B$26,0),MATCH(E118,'Note finale'!$B$4:$AA$4,0))</f>
        <v>4.8431734317343177E-3</v>
      </c>
      <c r="G118" s="313"/>
      <c r="H118" s="17"/>
      <c r="I118" s="152"/>
      <c r="J118" s="331"/>
      <c r="K118" s="320"/>
      <c r="L118" s="355"/>
      <c r="M118" s="152"/>
      <c r="N118" s="16"/>
      <c r="O118" s="312"/>
    </row>
    <row r="119" spans="2:15" ht="25.5" x14ac:dyDescent="0.25">
      <c r="B119" s="310" t="s">
        <v>175</v>
      </c>
      <c r="C119" s="311">
        <v>14</v>
      </c>
      <c r="D119" s="313" t="str">
        <f>VLOOKUP(C119,'Axe 3'!$D$6:$G$56,4,FALSE)</f>
        <v>La collectivité privilégie une logique d’achat de services à l’acquisition par la propriété. Elle favorise l'achat d'occasion et le réemploi.</v>
      </c>
      <c r="E119" s="313" t="s">
        <v>73</v>
      </c>
      <c r="F119" s="363">
        <f>INDEX('Note finale'!$B$5:$AA$26,MATCH(B119,'Note finale'!$B$5:$B$26,0),MATCH(E119,'Note finale'!$B$4:$AA$4,0))</f>
        <v>4.8431734317343177E-3</v>
      </c>
      <c r="G119" s="313"/>
      <c r="H119" s="17" t="s">
        <v>473</v>
      </c>
      <c r="I119" s="152" t="s">
        <v>421</v>
      </c>
      <c r="J119" s="331" t="s">
        <v>809</v>
      </c>
      <c r="K119" s="320"/>
      <c r="L119" s="355"/>
      <c r="M119" s="152"/>
      <c r="N119" s="16"/>
      <c r="O119" s="312"/>
    </row>
    <row r="120" spans="2:15" ht="38.25" x14ac:dyDescent="0.25">
      <c r="B120" s="310" t="s">
        <v>175</v>
      </c>
      <c r="C120" s="311">
        <v>15</v>
      </c>
      <c r="D120" s="313" t="str">
        <f>VLOOKUP(C120,'Axe 3'!$D$6:$G$56,4,FALSE)</f>
        <v>Les acheteurs de la collectivité sont formés à l'économie circulaire et connaissent les critères socieux et environnementaux pertinents pour les marchés gérés.</v>
      </c>
      <c r="E120" s="313" t="s">
        <v>73</v>
      </c>
      <c r="F120" s="363">
        <f>INDEX('Note finale'!$B$5:$AA$26,MATCH(B120,'Note finale'!$B$5:$B$26,0),MATCH(E120,'Note finale'!$B$4:$AA$4,0))</f>
        <v>4.8431734317343177E-3</v>
      </c>
      <c r="G120" s="313"/>
      <c r="H120" s="17"/>
      <c r="I120" s="152"/>
      <c r="J120" s="331"/>
      <c r="K120" s="320"/>
      <c r="L120" s="355"/>
      <c r="M120" s="152"/>
      <c r="N120" s="16"/>
      <c r="O120" s="312"/>
    </row>
    <row r="121" spans="2:15" ht="63.75" x14ac:dyDescent="0.25">
      <c r="B121" s="310" t="s">
        <v>175</v>
      </c>
      <c r="C121" s="311">
        <v>16</v>
      </c>
      <c r="D121" s="313" t="str">
        <f>VLOOKUP(C121,'Axe 3'!$D$6:$G$56,4,FALSE)</f>
        <v>Le service développement économique réalise une analyse des activités de réemploi sur le territoire :
- quelle maturité / développement ?
- un soutien de la part de la collectivité est-il nécessaire ?
- …</v>
      </c>
      <c r="E121" s="313" t="s">
        <v>73</v>
      </c>
      <c r="F121" s="363">
        <f>INDEX('Note finale'!$B$5:$AA$26,MATCH(B121,'Note finale'!$B$5:$B$26,0),MATCH(E121,'Note finale'!$B$4:$AA$4,0))</f>
        <v>4.8431734317343177E-3</v>
      </c>
      <c r="G121" s="313"/>
      <c r="H121" s="17"/>
      <c r="I121" s="152"/>
      <c r="J121" s="331"/>
      <c r="K121" s="320"/>
      <c r="L121" s="355"/>
      <c r="M121" s="152"/>
      <c r="N121" s="16"/>
      <c r="O121" s="312"/>
    </row>
    <row r="122" spans="2:15" ht="51" x14ac:dyDescent="0.25">
      <c r="B122" s="310" t="s">
        <v>175</v>
      </c>
      <c r="C122" s="311">
        <v>17</v>
      </c>
      <c r="D122" s="313" t="str">
        <f>VLOOKUP(C122,'Axe 3'!$D$6:$G$56,4,FALSE)</f>
        <v>La collectivité accompagne la prévention des déchets des administrations / établissements (administrations, établissements d’enseignement, services de l’Etat, fonction publique hospitalière, établissements de santé et médico-sociaux)</v>
      </c>
      <c r="E122" s="313" t="s">
        <v>73</v>
      </c>
      <c r="F122" s="363">
        <f>INDEX('Note finale'!$B$5:$AA$26,MATCH(B122,'Note finale'!$B$5:$B$26,0),MATCH(E122,'Note finale'!$B$4:$AA$4,0))</f>
        <v>4.8431734317343177E-3</v>
      </c>
      <c r="G122" s="313"/>
      <c r="H122" s="17" t="s">
        <v>478</v>
      </c>
      <c r="I122" s="152" t="s">
        <v>421</v>
      </c>
      <c r="J122" s="331" t="s">
        <v>808</v>
      </c>
      <c r="K122" s="320"/>
      <c r="L122" s="355"/>
      <c r="M122" s="152"/>
      <c r="N122" s="16"/>
      <c r="O122" s="312"/>
    </row>
    <row r="123" spans="2:15" ht="38.25" x14ac:dyDescent="0.25">
      <c r="B123" s="310" t="s">
        <v>175</v>
      </c>
      <c r="C123" s="311">
        <v>18</v>
      </c>
      <c r="D123" s="313" t="str">
        <f>VLOOKUP(C123,'Axe 3'!$D$6:$G$56,4,FALSE)</f>
        <v>Un critère de performance est intégré dans les appels d'offres concernant la gestion du parc de véhicules en fin de vie : taux de réutilisation et de valorisation du centre VHU par exemple</v>
      </c>
      <c r="E123" s="313" t="s">
        <v>73</v>
      </c>
      <c r="F123" s="363">
        <f>INDEX('Note finale'!$B$5:$AA$26,MATCH(B123,'Note finale'!$B$5:$B$26,0),MATCH(E123,'Note finale'!$B$4:$AA$4,0))</f>
        <v>4.8431734317343177E-3</v>
      </c>
      <c r="G123" s="313"/>
      <c r="H123" s="17"/>
      <c r="I123" s="152"/>
      <c r="J123" s="331"/>
      <c r="K123" s="320"/>
      <c r="L123" s="355"/>
      <c r="M123" s="152"/>
      <c r="N123" s="16"/>
      <c r="O123" s="312"/>
    </row>
    <row r="124" spans="2:15" ht="38.25" x14ac:dyDescent="0.25">
      <c r="B124" s="310" t="s">
        <v>175</v>
      </c>
      <c r="C124" s="311">
        <v>19</v>
      </c>
      <c r="D124" s="313" t="str">
        <f>VLOOKUP(C124,'Axe 3'!$D$6:$G$56,4,FALSE)</f>
        <v>La collectivité sensibilise le personnel des établissements de restauration collective au gaspillage alimentaire et met en œuvre des actions de réduction du gaspillage alimentaire.</v>
      </c>
      <c r="E124" s="313" t="s">
        <v>73</v>
      </c>
      <c r="F124" s="363">
        <f>INDEX('Note finale'!$B$5:$AA$26,MATCH(B124,'Note finale'!$B$5:$B$26,0),MATCH(E124,'Note finale'!$B$4:$AA$4,0))</f>
        <v>4.8431734317343177E-3</v>
      </c>
      <c r="G124" s="313"/>
      <c r="H124" s="17" t="s">
        <v>468</v>
      </c>
      <c r="I124" s="330" t="s">
        <v>421</v>
      </c>
      <c r="J124" s="17" t="s">
        <v>685</v>
      </c>
      <c r="K124" s="320" t="s">
        <v>686</v>
      </c>
      <c r="L124" s="355"/>
      <c r="M124" s="152"/>
      <c r="N124" s="16"/>
      <c r="O124" s="312"/>
    </row>
    <row r="125" spans="2:15" ht="25.5" x14ac:dyDescent="0.25">
      <c r="B125" s="310" t="s">
        <v>175</v>
      </c>
      <c r="C125" s="311">
        <v>20</v>
      </c>
      <c r="D125" s="313" t="str">
        <f>VLOOKUP(C125,'Axe 3'!$D$6:$G$56,4,FALSE)</f>
        <v>La collectivité signe une charte achats durables ou est labellisée "Relations fournisseurs et achats responsables".</v>
      </c>
      <c r="E125" s="313" t="s">
        <v>75</v>
      </c>
      <c r="F125" s="363">
        <f>INDEX('Note finale'!$B$5:$AA$26,MATCH(B125,'Note finale'!$B$5:$B$26,0),MATCH(E125,'Note finale'!$B$4:$AA$4,0))</f>
        <v>5.5350553505535052E-3</v>
      </c>
      <c r="G125" s="313"/>
      <c r="H125" s="17" t="s">
        <v>860</v>
      </c>
      <c r="I125" s="152" t="s">
        <v>408</v>
      </c>
      <c r="J125" s="331" t="s">
        <v>861</v>
      </c>
      <c r="K125" s="320" t="s">
        <v>408</v>
      </c>
      <c r="L125" s="355"/>
      <c r="M125" s="152"/>
      <c r="N125" s="16"/>
      <c r="O125" s="312"/>
    </row>
    <row r="126" spans="2:15" ht="102" x14ac:dyDescent="0.25">
      <c r="B126" s="310" t="s">
        <v>180</v>
      </c>
      <c r="C126" s="311">
        <v>21</v>
      </c>
      <c r="D126" s="313" t="str">
        <f>VLOOKUP(C126,'Axe 3'!$D$6:$G$56,4,FALSE)</f>
        <v>La collectivité communique (elle-même ou en partenariat avec la Région, les chambres consulaires, les associations environnementales, offices du toursime…) sur les activités sur son territoire pour rendre visibles et accessibles les structures concernées, contribuant à une consommation responsable : magasins de vente en vrac, entreprises de prêt ou de location entre particuliers, entreprises et ateliers de réparation, hébergements touristiques détenant un label environnemental, etc.</v>
      </c>
      <c r="E126" s="313" t="s">
        <v>67</v>
      </c>
      <c r="F126" s="363">
        <f>INDEX('Note finale'!$B$5:$AA$26,MATCH(B126,'Note finale'!$B$5:$B$26,0),MATCH(E126,'Note finale'!$B$4:$AA$4,0))</f>
        <v>5.5350553505535052E-3</v>
      </c>
      <c r="G126" s="313"/>
      <c r="H126" s="331" t="s">
        <v>469</v>
      </c>
      <c r="I126" s="152" t="s">
        <v>40</v>
      </c>
      <c r="J126" s="331" t="s">
        <v>806</v>
      </c>
      <c r="K126" s="320"/>
      <c r="L126" s="355" t="s">
        <v>469</v>
      </c>
      <c r="M126" s="152" t="s">
        <v>408</v>
      </c>
      <c r="N126" s="16" t="s">
        <v>807</v>
      </c>
      <c r="O126" s="312" t="s">
        <v>409</v>
      </c>
    </row>
    <row r="127" spans="2:15" ht="89.25" x14ac:dyDescent="0.25">
      <c r="B127" s="310" t="s">
        <v>180</v>
      </c>
      <c r="C127" s="311">
        <v>22</v>
      </c>
      <c r="D127" s="313" t="str">
        <f>VLOOKUP(C127,'Axe 3'!$D$6:$G$56,4,FALSE)</f>
        <v>La collectivité forme les acteurs de son territoire à une consommation durable et aux achats responsables (elle-même ou en partenariat avec la Région, les CCI, les chambres consulaires…). 
Les attentes et les besoins par cible (ex : consommateur) sont détaillées : se nourrir, se déplacer, habiter, se divertir. Pour les entreprises : acheter des matières premières, acheter des services, faire livrer ses produits, faciliter la mobilité de ses collaborateurs...</v>
      </c>
      <c r="E127" s="313" t="s">
        <v>73</v>
      </c>
      <c r="F127" s="363">
        <f>INDEX('Note finale'!$B$5:$AA$26,MATCH(B127,'Note finale'!$B$5:$B$26,0),MATCH(E127,'Note finale'!$B$4:$AA$4,0))</f>
        <v>1.9372693726937271E-2</v>
      </c>
      <c r="G127" s="313"/>
      <c r="H127" s="17" t="s">
        <v>866</v>
      </c>
      <c r="I127" s="152" t="s">
        <v>40</v>
      </c>
      <c r="J127" s="331" t="s">
        <v>862</v>
      </c>
      <c r="K127" s="320"/>
      <c r="L127" s="355" t="s">
        <v>864</v>
      </c>
      <c r="M127" s="152" t="s">
        <v>40</v>
      </c>
      <c r="N127" s="16" t="s">
        <v>863</v>
      </c>
      <c r="O127" s="312"/>
    </row>
    <row r="128" spans="2:15" x14ac:dyDescent="0.25">
      <c r="B128" s="310" t="s">
        <v>180</v>
      </c>
      <c r="C128" s="311">
        <v>23</v>
      </c>
      <c r="D128" s="313" t="str">
        <f>VLOOKUP(C128,'Axe 3'!$D$6:$G$56,4,FALSE)</f>
        <v xml:space="preserve">La collectivité promeut la sobriété des acteurs de son territoire </v>
      </c>
      <c r="E128" s="313" t="s">
        <v>73</v>
      </c>
      <c r="F128" s="363">
        <f>INDEX('Note finale'!$B$5:$AA$26,MATCH(B128,'Note finale'!$B$5:$B$26,0),MATCH(E128,'Note finale'!$B$4:$AA$4,0))</f>
        <v>1.9372693726937271E-2</v>
      </c>
      <c r="G128" s="313"/>
      <c r="H128" s="339" t="s">
        <v>867</v>
      </c>
      <c r="I128" s="152" t="s">
        <v>447</v>
      </c>
      <c r="J128" s="331" t="s">
        <v>865</v>
      </c>
      <c r="K128" s="320"/>
      <c r="L128" s="355"/>
      <c r="M128" s="152"/>
      <c r="N128" s="16"/>
      <c r="O128" s="312"/>
    </row>
    <row r="129" spans="2:15" ht="38.25" x14ac:dyDescent="0.25">
      <c r="B129" s="310" t="s">
        <v>180</v>
      </c>
      <c r="C129" s="311">
        <v>24</v>
      </c>
      <c r="D129" s="313" t="str">
        <f>VLOOKUP(C129,'Axe 3'!$D$6:$G$56,4,FALSE)</f>
        <v>La collectivité suit les flux de matières impliqués dans les filières à enjeux de l'économie circulaire, entre les différents acteurs sur son territoire (mise à jour annuelle)</v>
      </c>
      <c r="E129" s="313" t="s">
        <v>75</v>
      </c>
      <c r="F129" s="363">
        <f>INDEX('Note finale'!$B$5:$AA$26,MATCH(B129,'Note finale'!$B$5:$B$26,0),MATCH(E129,'Note finale'!$B$4:$AA$4,0))</f>
        <v>1.107011070110701E-2</v>
      </c>
      <c r="G129" s="313"/>
      <c r="H129" s="17" t="s">
        <v>470</v>
      </c>
      <c r="I129" s="152" t="s">
        <v>408</v>
      </c>
      <c r="J129" s="331" t="s">
        <v>471</v>
      </c>
      <c r="K129" s="320"/>
      <c r="L129" s="355"/>
      <c r="M129" s="152"/>
      <c r="N129" s="16"/>
      <c r="O129" s="312"/>
    </row>
    <row r="130" spans="2:15" ht="63.75" x14ac:dyDescent="0.25">
      <c r="B130" s="310" t="s">
        <v>191</v>
      </c>
      <c r="C130" s="311">
        <v>25</v>
      </c>
      <c r="D130" s="313" t="str">
        <f>VLOOKUP(C130,'Axe 3'!$D$6:$G$56,4,FALSE)</f>
        <v>La collectivité anime (elle-même ou en partenariat avec la Région, les CCI, les chambres consulaires, les associations environnementales…) ou participe à l'animation d'un réseau d'entreprises, afin d'impulser une dynamique d'engagement de celles-ci dans les démarches d'éco-conception ou d'éco-innovation</v>
      </c>
      <c r="E130" s="313" t="s">
        <v>67</v>
      </c>
      <c r="F130" s="363">
        <f>INDEX('Note finale'!$B$5:$AA$26,MATCH(B130,'Note finale'!$B$5:$B$26,0),MATCH(E130,'Note finale'!$B$4:$AA$4,0))</f>
        <v>0</v>
      </c>
      <c r="G130" s="313"/>
      <c r="H130" s="331" t="s">
        <v>479</v>
      </c>
      <c r="I130" s="152" t="s">
        <v>40</v>
      </c>
      <c r="J130" s="331" t="s">
        <v>810</v>
      </c>
      <c r="K130" s="320"/>
      <c r="L130" s="355" t="s">
        <v>479</v>
      </c>
      <c r="M130" s="152" t="s">
        <v>40</v>
      </c>
      <c r="N130" s="16" t="s">
        <v>811</v>
      </c>
      <c r="O130" s="312"/>
    </row>
    <row r="131" spans="2:15" ht="89.25" x14ac:dyDescent="0.25">
      <c r="B131" s="310" t="s">
        <v>191</v>
      </c>
      <c r="C131" s="311">
        <v>26</v>
      </c>
      <c r="D131" s="313" t="str">
        <f>VLOOKUP(C131,'Axe 3'!$D$6:$G$56,4,FALSE)</f>
        <v>La collectivité encourage et/ou accompagne les entreprises à la mise en place de démarches d'éco-conception s'appuyant ou non sur un label. Elle cible ses actions d'accompagnement en matière d'éco-conception sur les filières à enjeux sur son territoire.</v>
      </c>
      <c r="E131" s="313" t="s">
        <v>73</v>
      </c>
      <c r="F131" s="363">
        <f>INDEX('Note finale'!$B$5:$AA$26,MATCH(B131,'Note finale'!$B$5:$B$26,0),MATCH(E131,'Note finale'!$B$4:$AA$4,0))</f>
        <v>2.7675276752767528E-2</v>
      </c>
      <c r="G131" s="313"/>
      <c r="H131" s="331" t="s">
        <v>480</v>
      </c>
      <c r="I131" s="152" t="s">
        <v>421</v>
      </c>
      <c r="J131" s="331" t="s">
        <v>812</v>
      </c>
      <c r="K131" s="342" t="s">
        <v>481</v>
      </c>
      <c r="L131" s="343" t="s">
        <v>480</v>
      </c>
      <c r="M131" s="326" t="s">
        <v>40</v>
      </c>
      <c r="N131" s="340" t="s">
        <v>813</v>
      </c>
      <c r="O131" s="341"/>
    </row>
    <row r="132" spans="2:15" ht="38.25" x14ac:dyDescent="0.25">
      <c r="B132" s="310" t="s">
        <v>191</v>
      </c>
      <c r="C132" s="311">
        <v>27</v>
      </c>
      <c r="D132" s="313" t="str">
        <f>VLOOKUP(C132,'Axe 3'!$D$6:$G$56,4,FALSE)</f>
        <v>La collectivité se rapproche des éco-organismes pour favoriser leur mise en relation avec les entreprises de son territoire</v>
      </c>
      <c r="E132" s="313" t="s">
        <v>73</v>
      </c>
      <c r="F132" s="363">
        <f>INDEX('Note finale'!$B$5:$AA$26,MATCH(B132,'Note finale'!$B$5:$B$26,0),MATCH(E132,'Note finale'!$B$4:$AA$4,0))</f>
        <v>2.7675276752767528E-2</v>
      </c>
      <c r="G132" s="313"/>
      <c r="H132" s="17" t="s">
        <v>480</v>
      </c>
      <c r="I132" s="152" t="s">
        <v>40</v>
      </c>
      <c r="J132" s="331"/>
      <c r="K132" s="320"/>
      <c r="L132" s="355"/>
      <c r="M132" s="152"/>
      <c r="N132" s="16"/>
      <c r="O132" s="312"/>
    </row>
    <row r="133" spans="2:15" ht="63.75" x14ac:dyDescent="0.25">
      <c r="B133" s="310" t="s">
        <v>191</v>
      </c>
      <c r="C133" s="311">
        <v>28</v>
      </c>
      <c r="D133" s="313" t="str">
        <f>VLOOKUP(C133,'Axe 3'!$D$6:$G$56,4,FALSE)</f>
        <v>Si des universités sont présentes sur son territoire, la collectivité encourage des partenariats entre les entreprises et ces universités pour développer de nouvelles solutions d'éco-conception et une montée en compétences sur le sujet. Elle s'appuie en particulier sur la Région (qui a la compétence formation / éducation supérieure).</v>
      </c>
      <c r="E133" s="313" t="s">
        <v>73</v>
      </c>
      <c r="F133" s="363">
        <f>INDEX('Note finale'!$B$5:$AA$26,MATCH(B133,'Note finale'!$B$5:$B$26,0),MATCH(E133,'Note finale'!$B$4:$AA$4,0))</f>
        <v>2.7675276752767528E-2</v>
      </c>
      <c r="G133" s="313"/>
      <c r="H133" s="331" t="s">
        <v>482</v>
      </c>
      <c r="I133" s="152" t="s">
        <v>40</v>
      </c>
      <c r="J133" s="17" t="s">
        <v>814</v>
      </c>
      <c r="K133" s="320"/>
      <c r="L133" s="355" t="s">
        <v>482</v>
      </c>
      <c r="M133" s="152" t="s">
        <v>40</v>
      </c>
      <c r="N133" s="16" t="s">
        <v>815</v>
      </c>
      <c r="O133" s="312"/>
    </row>
    <row r="134" spans="2:15" ht="63.75" x14ac:dyDescent="0.25">
      <c r="B134" s="310" t="s">
        <v>198</v>
      </c>
      <c r="C134" s="311">
        <v>29</v>
      </c>
      <c r="D134" s="313" t="str">
        <f>VLOOKUP(C134,'Axe 3'!$D$6:$G$56,4,FALSE)</f>
        <v>La collectivité rassemble différents acteurs autour de l'EIT (CCI, agences de développement économique, syndicats déchets, associations d'entreprises et de zones d'activités, DREAL/DIRRECTE, etc.). La collectivité exerce un rôle de mise en réseau et de sensibilisation des acteurs de son territoire : actions de communication, ...</v>
      </c>
      <c r="E134" s="313" t="s">
        <v>67</v>
      </c>
      <c r="F134" s="363">
        <f>INDEX('Note finale'!$B$5:$AA$26,MATCH(B134,'Note finale'!$B$5:$B$26,0),MATCH(E134,'Note finale'!$B$4:$AA$4,0))</f>
        <v>7.6875768757687585E-3</v>
      </c>
      <c r="G134" s="313"/>
      <c r="H134" s="17" t="s">
        <v>483</v>
      </c>
      <c r="I134" s="152" t="s">
        <v>40</v>
      </c>
      <c r="J134" s="17" t="s">
        <v>484</v>
      </c>
      <c r="K134" s="320"/>
      <c r="L134" s="355"/>
      <c r="M134" s="152"/>
      <c r="N134" s="16"/>
      <c r="O134" s="312"/>
    </row>
    <row r="135" spans="2:15" ht="51" x14ac:dyDescent="0.25">
      <c r="B135" s="310" t="s">
        <v>198</v>
      </c>
      <c r="C135" s="311">
        <v>30</v>
      </c>
      <c r="D135" s="313" t="str">
        <f>VLOOKUP(C135,'Axe 3'!$D$6:$G$56,4,FALSE)</f>
        <v xml:space="preserve">La collectivité est en soutien du porteur de la démarche EIT : elle  mobilise ses réseaux d'entreprise pour les inciter à participer et mobilise également les élus, elle mobilise en interne les différents services (dev éco, DD, urbanisme, ..) </v>
      </c>
      <c r="E135" s="313" t="s">
        <v>67</v>
      </c>
      <c r="F135" s="363">
        <f>INDEX('Note finale'!$B$5:$AA$26,MATCH(B135,'Note finale'!$B$5:$B$26,0),MATCH(E135,'Note finale'!$B$4:$AA$4,0))</f>
        <v>7.6875768757687585E-3</v>
      </c>
      <c r="G135" s="313"/>
      <c r="H135" s="17" t="s">
        <v>485</v>
      </c>
      <c r="I135" s="152" t="s">
        <v>40</v>
      </c>
      <c r="J135" s="17" t="s">
        <v>486</v>
      </c>
      <c r="K135" s="320"/>
      <c r="L135" s="355"/>
      <c r="M135" s="152"/>
      <c r="N135" s="16"/>
      <c r="O135" s="312"/>
    </row>
    <row r="136" spans="2:15" ht="51" x14ac:dyDescent="0.25">
      <c r="B136" s="310" t="s">
        <v>198</v>
      </c>
      <c r="C136" s="311">
        <v>31</v>
      </c>
      <c r="D136" s="313" t="str">
        <f>VLOOKUP(C136,'Axe 3'!$D$6:$G$56,4,FALSE)</f>
        <v>La collectivité pilote et anime la démarche d'EIT : elle nomme un animateur EIT qui est en charge d'organiser des rencontres entre entreprises (visites, ateliers, ..) et d'initier l'identification des synergies. Elle cible ses actions sur les filières à enjeu de son territoire</v>
      </c>
      <c r="E136" s="313" t="s">
        <v>67</v>
      </c>
      <c r="F136" s="363">
        <f>INDEX('Note finale'!$B$5:$AA$26,MATCH(B136,'Note finale'!$B$5:$B$26,0),MATCH(E136,'Note finale'!$B$4:$AA$4,0))</f>
        <v>7.6875768757687585E-3</v>
      </c>
      <c r="G136" s="313"/>
      <c r="H136" s="331" t="s">
        <v>687</v>
      </c>
      <c r="I136" s="152" t="s">
        <v>40</v>
      </c>
      <c r="J136" s="339" t="s">
        <v>816</v>
      </c>
      <c r="K136" s="320"/>
      <c r="L136" s="355"/>
      <c r="M136" s="152"/>
      <c r="N136" s="16"/>
      <c r="O136" s="312"/>
    </row>
    <row r="137" spans="2:15" ht="25.5" x14ac:dyDescent="0.25">
      <c r="B137" s="310" t="s">
        <v>198</v>
      </c>
      <c r="C137" s="311">
        <v>32</v>
      </c>
      <c r="D137" s="313" t="str">
        <f>VLOOKUP(C137,'Axe 3'!$D$6:$G$56,4,FALSE)</f>
        <v>La collectivité fixe des prescriptions dans le règlement de son PLUi favorisant des démarches d'EIT</v>
      </c>
      <c r="E137" s="313" t="s">
        <v>73</v>
      </c>
      <c r="F137" s="363">
        <f>INDEX('Note finale'!$B$5:$AA$26,MATCH(B137,'Note finale'!$B$5:$B$26,0),MATCH(E137,'Note finale'!$B$4:$AA$4,0))</f>
        <v>9.2250922509225092E-3</v>
      </c>
      <c r="G137" s="313"/>
      <c r="H137" s="331"/>
      <c r="I137" s="152"/>
      <c r="J137" s="339"/>
      <c r="K137" s="320"/>
      <c r="L137" s="355"/>
      <c r="M137" s="152"/>
      <c r="N137" s="16"/>
      <c r="O137" s="312"/>
    </row>
    <row r="138" spans="2:15" ht="25.5" x14ac:dyDescent="0.25">
      <c r="B138" s="310" t="s">
        <v>198</v>
      </c>
      <c r="C138" s="311">
        <v>33</v>
      </c>
      <c r="D138" s="313" t="str">
        <f>VLOOKUP(C138,'Axe 3'!$D$6:$G$56,4,FALSE)</f>
        <v>La collectivité intègre l'EIT dans ses aménagements de nouvelles zones ou de zones d'activités existantes.</v>
      </c>
      <c r="E138" s="313" t="s">
        <v>73</v>
      </c>
      <c r="F138" s="363">
        <f>INDEX('Note finale'!$B$5:$AA$26,MATCH(B138,'Note finale'!$B$5:$B$26,0),MATCH(E138,'Note finale'!$B$4:$AA$4,0))</f>
        <v>9.2250922509225092E-3</v>
      </c>
      <c r="G138" s="313"/>
      <c r="H138" s="331"/>
      <c r="I138" s="152"/>
      <c r="J138" s="339"/>
      <c r="K138" s="320"/>
      <c r="L138" s="355"/>
      <c r="M138" s="152"/>
      <c r="N138" s="16"/>
      <c r="O138" s="312"/>
    </row>
    <row r="139" spans="2:15" ht="38.25" x14ac:dyDescent="0.25">
      <c r="B139" s="310" t="s">
        <v>198</v>
      </c>
      <c r="C139" s="311">
        <v>34</v>
      </c>
      <c r="D139" s="313" t="str">
        <f>VLOOKUP(C139,'Axe 3'!$D$6:$G$56,4,FALSE)</f>
        <v>La communication et les objectifs de la collectivité ont abouti à la mise en œuvre d'un ou de plusieurs projets d'EIT sur son territoire et dont elle est membre du comité de pilotage</v>
      </c>
      <c r="E139" s="313" t="s">
        <v>73</v>
      </c>
      <c r="F139" s="363">
        <f>INDEX('Note finale'!$B$5:$AA$26,MATCH(B139,'Note finale'!$B$5:$B$26,0),MATCH(E139,'Note finale'!$B$4:$AA$4,0))</f>
        <v>9.2250922509225092E-3</v>
      </c>
      <c r="G139" s="313"/>
      <c r="H139" s="331" t="s">
        <v>487</v>
      </c>
      <c r="I139" s="152" t="s">
        <v>488</v>
      </c>
      <c r="J139" s="17" t="s">
        <v>489</v>
      </c>
      <c r="K139" s="320"/>
      <c r="L139" s="355"/>
      <c r="M139" s="152"/>
      <c r="N139" s="16"/>
      <c r="O139" s="312"/>
    </row>
    <row r="140" spans="2:15" ht="38.25" x14ac:dyDescent="0.25">
      <c r="B140" s="310" t="s">
        <v>198</v>
      </c>
      <c r="C140" s="311">
        <v>35</v>
      </c>
      <c r="D140" s="313" t="str">
        <f>VLOOKUP(C140,'Axe 3'!$D$6:$G$56,4,FALSE)</f>
        <v>La collectivité via un poste d'animateur EIT (interne ou externe) a accompagné les entreprises dans la concrétisation de la mise en œuvre de leurs synergies (ex : substitution, mutualisation)</v>
      </c>
      <c r="E140" s="313" t="s">
        <v>73</v>
      </c>
      <c r="F140" s="363">
        <f>INDEX('Note finale'!$B$5:$AA$26,MATCH(B140,'Note finale'!$B$5:$B$26,0),MATCH(E140,'Note finale'!$B$4:$AA$4,0))</f>
        <v>9.2250922509225092E-3</v>
      </c>
      <c r="G140" s="313"/>
      <c r="H140" s="331" t="s">
        <v>868</v>
      </c>
      <c r="I140" s="152" t="s">
        <v>40</v>
      </c>
      <c r="J140" s="339" t="s">
        <v>817</v>
      </c>
      <c r="K140" s="320"/>
      <c r="L140" s="355"/>
      <c r="M140" s="152"/>
      <c r="N140" s="16"/>
      <c r="O140" s="312"/>
    </row>
    <row r="141" spans="2:15" ht="25.5" x14ac:dyDescent="0.25">
      <c r="B141" s="310" t="s">
        <v>198</v>
      </c>
      <c r="C141" s="311">
        <v>36</v>
      </c>
      <c r="D141" s="313" t="str">
        <f>VLOOKUP(C141,'Axe 3'!$D$6:$G$56,4,FALSE)</f>
        <v>La collectivité évalue son projet d'EIT annuellement sous la plateforme d'évaluation des démarches d'EIT (ELIPSE)</v>
      </c>
      <c r="E141" s="313" t="s">
        <v>75</v>
      </c>
      <c r="F141" s="363">
        <f>INDEX('Note finale'!$B$5:$AA$26,MATCH(B141,'Note finale'!$B$5:$B$26,0),MATCH(E141,'Note finale'!$B$4:$AA$4,0))</f>
        <v>4.6125461254612546E-3</v>
      </c>
      <c r="G141" s="313"/>
      <c r="H141" s="331" t="s">
        <v>870</v>
      </c>
      <c r="I141" s="152" t="s">
        <v>408</v>
      </c>
      <c r="J141" s="339" t="s">
        <v>869</v>
      </c>
      <c r="K141" s="320"/>
      <c r="L141" s="355"/>
      <c r="M141" s="152"/>
      <c r="N141" s="16"/>
      <c r="O141" s="312"/>
    </row>
    <row r="142" spans="2:15" ht="25.5" x14ac:dyDescent="0.25">
      <c r="B142" s="310" t="s">
        <v>203</v>
      </c>
      <c r="C142" s="311">
        <v>37</v>
      </c>
      <c r="D142" s="313" t="str">
        <f>VLOOKUP(C142,'Axe 3'!$D$6:$G$56,4,FALSE)</f>
        <v xml:space="preserve">La collectivité promeut et sensibilise à l'économie de la fonctionnalité les acteurs du territoire (entreprises et usagers) </v>
      </c>
      <c r="E142" s="313" t="s">
        <v>67</v>
      </c>
      <c r="F142" s="363">
        <f>INDEX('Note finale'!$B$5:$AA$26,MATCH(B142,'Note finale'!$B$5:$B$26,0),MATCH(E142,'Note finale'!$B$4:$AA$4,0))</f>
        <v>9.2250922509225092E-3</v>
      </c>
      <c r="G142" s="313"/>
      <c r="H142" s="331" t="s">
        <v>871</v>
      </c>
      <c r="I142" s="152" t="s">
        <v>40</v>
      </c>
      <c r="J142" s="339" t="s">
        <v>872</v>
      </c>
      <c r="K142" s="320"/>
      <c r="L142" s="355"/>
      <c r="M142" s="152"/>
      <c r="N142" s="16"/>
      <c r="O142" s="312"/>
    </row>
    <row r="143" spans="2:15" ht="38.25" x14ac:dyDescent="0.25">
      <c r="B143" s="310" t="s">
        <v>203</v>
      </c>
      <c r="C143" s="311">
        <v>38</v>
      </c>
      <c r="D143" s="313" t="str">
        <f>VLOOKUP(C143,'Axe 3'!$D$6:$G$56,4,FALSE)</f>
        <v>Elle participe et soutient l'émergence ou le maintien d'un club régional d'économie de la fonctionnalité qui a pour vocation d'animer les acteurs territoriaux sur le sujet</v>
      </c>
      <c r="E143" s="313" t="s">
        <v>67</v>
      </c>
      <c r="F143" s="363">
        <f>INDEX('Note finale'!$B$5:$AA$26,MATCH(B143,'Note finale'!$B$5:$B$26,0),MATCH(E143,'Note finale'!$B$4:$AA$4,0))</f>
        <v>9.2250922509225092E-3</v>
      </c>
      <c r="G143" s="313"/>
      <c r="H143" s="331"/>
      <c r="I143" s="152"/>
      <c r="J143" s="339"/>
      <c r="K143" s="320"/>
      <c r="L143" s="355"/>
      <c r="M143" s="152"/>
      <c r="N143" s="16"/>
      <c r="O143" s="312"/>
    </row>
    <row r="144" spans="2:15" ht="38.25" x14ac:dyDescent="0.25">
      <c r="B144" s="310" t="s">
        <v>203</v>
      </c>
      <c r="C144" s="311">
        <v>39</v>
      </c>
      <c r="D144" s="313" t="str">
        <f>VLOOKUP(C144,'Axe 3'!$D$6:$G$56,4,FALSE)</f>
        <v>La collectivité facilite le développement d'accompagnement des entreprises à l'économie de la fonctionnalité</v>
      </c>
      <c r="E144" s="313" t="s">
        <v>73</v>
      </c>
      <c r="F144" s="363">
        <f>INDEX('Note finale'!$B$5:$AA$26,MATCH(B144,'Note finale'!$B$5:$B$26,0),MATCH(E144,'Note finale'!$B$4:$AA$4,0))</f>
        <v>9.2250922509225092E-3</v>
      </c>
      <c r="G144" s="313"/>
      <c r="H144" s="338" t="s">
        <v>873</v>
      </c>
      <c r="I144" s="152" t="s">
        <v>40</v>
      </c>
      <c r="J144" s="339" t="s">
        <v>594</v>
      </c>
      <c r="K144" s="320"/>
      <c r="L144" s="355"/>
      <c r="M144" s="152"/>
      <c r="N144" s="16"/>
      <c r="O144" s="312"/>
    </row>
    <row r="145" spans="2:15" ht="76.5" x14ac:dyDescent="0.25">
      <c r="B145" s="310" t="s">
        <v>203</v>
      </c>
      <c r="C145" s="311">
        <v>40</v>
      </c>
      <c r="D145" s="313" t="str">
        <f>VLOOKUP(C145,'Axe 3'!$D$6:$G$56,4,FALSE)</f>
        <v>La collectivité accompagne, développe ou teste de nouvelles activités en matière d'économie de la fonctionnalité pour son fonctionnement interne (photocopiage consommables, transport de ses salariés...) et pour ses missions de service public (éclairage public, prévention des déchets, mutualisation d'espaces publics ou stationnements, chronotopie pour améliorer les usages de lieux ou de services…)</v>
      </c>
      <c r="E145" s="313" t="s">
        <v>73</v>
      </c>
      <c r="F145" s="363">
        <f>INDEX('Note finale'!$B$5:$AA$26,MATCH(B145,'Note finale'!$B$5:$B$26,0),MATCH(E145,'Note finale'!$B$4:$AA$4,0))</f>
        <v>9.2250922509225092E-3</v>
      </c>
      <c r="G145" s="313"/>
      <c r="H145" s="17" t="s">
        <v>490</v>
      </c>
      <c r="I145" s="152" t="s">
        <v>40</v>
      </c>
      <c r="J145" s="17" t="s">
        <v>491</v>
      </c>
      <c r="K145" s="320"/>
      <c r="L145" s="355"/>
      <c r="M145" s="152"/>
      <c r="N145" s="16"/>
      <c r="O145" s="312"/>
    </row>
    <row r="146" spans="2:15" ht="76.5" x14ac:dyDescent="0.25">
      <c r="B146" s="310" t="s">
        <v>203</v>
      </c>
      <c r="C146" s="311">
        <v>41</v>
      </c>
      <c r="D146" s="313" t="str">
        <f>VLOOKUP(C146,'Axe 3'!$D$6:$G$56,4,FALSE)</f>
        <v>La collectivité anime des collectifs d'acteurs territoriaux (entreprises, associations...) pour faire émerger de nouvelles activités économiques  sur le modèle de l'économie de la fonctionnalité en lien avec les besoins sociaux et le développement durable  du territoire (alimentation, habitat, mobilité durables...) et les filières à enjeux du territoire.</v>
      </c>
      <c r="E146" s="313" t="s">
        <v>73</v>
      </c>
      <c r="F146" s="363">
        <f>INDEX('Note finale'!$B$5:$AA$26,MATCH(B146,'Note finale'!$B$5:$B$26,0),MATCH(E146,'Note finale'!$B$4:$AA$4,0))</f>
        <v>9.2250922509225092E-3</v>
      </c>
      <c r="G146" s="313"/>
      <c r="H146" s="331" t="s">
        <v>492</v>
      </c>
      <c r="I146" s="152" t="s">
        <v>40</v>
      </c>
      <c r="J146" s="17" t="s">
        <v>818</v>
      </c>
      <c r="K146" s="320"/>
      <c r="L146" s="355" t="s">
        <v>492</v>
      </c>
      <c r="M146" s="152"/>
      <c r="N146" s="16" t="s">
        <v>819</v>
      </c>
      <c r="O146" s="312"/>
    </row>
    <row r="147" spans="2:15" ht="25.5" x14ac:dyDescent="0.25">
      <c r="B147" s="310" t="s">
        <v>213</v>
      </c>
      <c r="C147" s="311">
        <v>42</v>
      </c>
      <c r="D147" s="313" t="str">
        <f>VLOOKUP(C147,'Axe 3'!$D$6:$G$56,4,FALSE)</f>
        <v>La collectivité permet d'introduire des règles en matière d'urbanisation pour favoriser certaines solutions innovantes</v>
      </c>
      <c r="E147" s="313" t="s">
        <v>67</v>
      </c>
      <c r="F147" s="363">
        <f>INDEX('Note finale'!$B$5:$AA$26,MATCH(B147,'Note finale'!$B$5:$B$26,0),MATCH(E147,'Note finale'!$B$4:$AA$4,0))</f>
        <v>6.9188191881918819E-3</v>
      </c>
      <c r="G147" s="313"/>
      <c r="H147" s="338"/>
      <c r="I147" s="152"/>
      <c r="J147" s="339"/>
      <c r="K147" s="320"/>
      <c r="L147" s="355"/>
      <c r="M147" s="152"/>
      <c r="N147" s="16"/>
      <c r="O147" s="312"/>
    </row>
    <row r="148" spans="2:15" ht="38.25" x14ac:dyDescent="0.25">
      <c r="B148" s="310" t="s">
        <v>213</v>
      </c>
      <c r="C148" s="311">
        <v>43</v>
      </c>
      <c r="D148" s="313" t="str">
        <f>VLOOKUP(C148,'Axe 3'!$D$6:$G$56,4,FALSE)</f>
        <v>La collectivité met à disposition  des moyens hors budgétaire (locaux, équipements, matière première…) pour un ou des projets de recherche et/ou d'innovation sur l'économie circulaire.</v>
      </c>
      <c r="E148" s="313" t="s">
        <v>67</v>
      </c>
      <c r="F148" s="363">
        <f>INDEX('Note finale'!$B$5:$AA$26,MATCH(B148,'Note finale'!$B$5:$B$26,0),MATCH(E148,'Note finale'!$B$4:$AA$4,0))</f>
        <v>6.9188191881918819E-3</v>
      </c>
      <c r="G148" s="313"/>
      <c r="H148" s="17" t="s">
        <v>493</v>
      </c>
      <c r="I148" s="152" t="s">
        <v>40</v>
      </c>
      <c r="J148" s="17" t="s">
        <v>494</v>
      </c>
      <c r="K148" s="320"/>
      <c r="L148" s="355"/>
      <c r="M148" s="152"/>
      <c r="N148" s="16"/>
      <c r="O148" s="312"/>
    </row>
    <row r="149" spans="2:15" ht="63.75" x14ac:dyDescent="0.25">
      <c r="B149" s="310" t="s">
        <v>213</v>
      </c>
      <c r="C149" s="311">
        <v>44</v>
      </c>
      <c r="D149" s="313" t="str">
        <f>VLOOKUP(C149,'Axe 3'!$D$6:$G$56,4,FALSE)</f>
        <v>La collectivité est impliquée dans le développement de projets de recherche et/ou d'innovation sur l'économie circulaire (financier, technique, prêts salles et matériels, logistique, ..). Si la collectivité n'est pas en régie, elle appuie des demandes de participation de prestataires à des travaux de recherche.</v>
      </c>
      <c r="E149" s="313" t="s">
        <v>73</v>
      </c>
      <c r="F149" s="363">
        <f>INDEX('Note finale'!$B$5:$AA$26,MATCH(B149,'Note finale'!$B$5:$B$26,0),MATCH(E149,'Note finale'!$B$4:$AA$4,0))</f>
        <v>1.6143911439114391E-2</v>
      </c>
      <c r="G149" s="313"/>
      <c r="H149" s="331" t="s">
        <v>493</v>
      </c>
      <c r="I149" s="152" t="s">
        <v>40</v>
      </c>
      <c r="J149" s="17" t="s">
        <v>820</v>
      </c>
      <c r="K149" s="320"/>
      <c r="L149" s="355" t="s">
        <v>493</v>
      </c>
      <c r="M149" s="152" t="s">
        <v>40</v>
      </c>
      <c r="N149" s="16" t="s">
        <v>821</v>
      </c>
      <c r="O149" s="312"/>
    </row>
    <row r="150" spans="2:15" ht="25.5" x14ac:dyDescent="0.25">
      <c r="B150" s="314" t="s">
        <v>213</v>
      </c>
      <c r="C150" s="315">
        <v>45</v>
      </c>
      <c r="D150" s="316" t="str">
        <f>VLOOKUP(C150,'Axe 3'!$D$6:$G$56,4,FALSE)</f>
        <v xml:space="preserve">La collectivité porte un (ou des) projet(s) de recherche et/ou d'innovation sur ses filières prioritaires. </v>
      </c>
      <c r="E150" s="316" t="s">
        <v>73</v>
      </c>
      <c r="F150" s="364">
        <f>INDEX('Note finale'!$B$5:$AA$26,MATCH(B150,'Note finale'!$B$5:$B$26,0),MATCH(E150,'Note finale'!$B$4:$AA$4,0))</f>
        <v>1.6143911439114391E-2</v>
      </c>
      <c r="G150" s="316"/>
      <c r="H150" s="317" t="s">
        <v>493</v>
      </c>
      <c r="I150" s="153" t="s">
        <v>40</v>
      </c>
      <c r="J150" s="317" t="s">
        <v>495</v>
      </c>
      <c r="K150" s="321"/>
      <c r="L150" s="356"/>
      <c r="M150" s="153"/>
      <c r="N150" s="348"/>
      <c r="O150" s="318"/>
    </row>
    <row r="151" spans="2:15" s="244" customFormat="1" x14ac:dyDescent="0.25">
      <c r="B151" s="344"/>
      <c r="C151" s="344"/>
      <c r="D151" s="345"/>
      <c r="E151" s="345"/>
      <c r="F151" s="366"/>
      <c r="G151" s="345"/>
      <c r="H151" s="346"/>
      <c r="I151" s="347"/>
      <c r="J151" s="346"/>
      <c r="K151" s="347"/>
      <c r="L151" s="352"/>
      <c r="M151" s="347"/>
      <c r="N151" s="352"/>
      <c r="O151" s="347"/>
    </row>
    <row r="152" spans="2:15" ht="38.25" x14ac:dyDescent="0.25">
      <c r="B152" s="305" t="s">
        <v>283</v>
      </c>
      <c r="C152" s="306">
        <v>1</v>
      </c>
      <c r="D152" s="307" t="str">
        <f>VLOOKUP(C152,'Axe 4'!$D$6:$G$25,4,FALSE)</f>
        <v>La collectivité dispose d'un bilan annuel détaillé des coûts de la collecte et du traitement des déchets et le communique de manière synthétique et accessible aux usagers.</v>
      </c>
      <c r="E152" s="307" t="s">
        <v>67</v>
      </c>
      <c r="F152" s="362">
        <f>INDEX('Note finale'!$B$5:$AA$26,MATCH(B152,'Note finale'!$B$5:$B$26,0),MATCH(E152,'Note finale'!$B$4:$AA$4,0))</f>
        <v>4.6125461254612546E-3</v>
      </c>
      <c r="G152" s="307"/>
      <c r="H152" s="308" t="s">
        <v>504</v>
      </c>
      <c r="I152" s="151" t="s">
        <v>408</v>
      </c>
      <c r="J152" s="308" t="s">
        <v>874</v>
      </c>
      <c r="K152" s="319" t="s">
        <v>409</v>
      </c>
      <c r="L152" s="354"/>
      <c r="M152" s="151"/>
      <c r="N152" s="51"/>
      <c r="O152" s="309"/>
    </row>
    <row r="153" spans="2:15" ht="25.5" x14ac:dyDescent="0.25">
      <c r="B153" s="310" t="s">
        <v>283</v>
      </c>
      <c r="C153" s="311">
        <v>2</v>
      </c>
      <c r="D153" s="313" t="str">
        <f>VLOOKUP(C153,'Axe 4'!$D$6:$G$25,4,FALSE)</f>
        <v>La collectivité systématise les démarches en coût global lors de la conception des bâtiments (neuf ou rénovation)</v>
      </c>
      <c r="E153" s="313" t="s">
        <v>73</v>
      </c>
      <c r="F153" s="363">
        <f>INDEX('Note finale'!$B$5:$AA$26,MATCH(B153,'Note finale'!$B$5:$B$26,0),MATCH(E153,'Note finale'!$B$4:$AA$4,0))</f>
        <v>6.9188191881918819E-3</v>
      </c>
      <c r="G153" s="313"/>
      <c r="H153" s="17"/>
      <c r="I153" s="152" t="s">
        <v>421</v>
      </c>
      <c r="J153" s="339" t="s">
        <v>875</v>
      </c>
      <c r="K153" s="320"/>
      <c r="L153" s="355"/>
      <c r="M153" s="152"/>
      <c r="N153" s="16"/>
      <c r="O153" s="312"/>
    </row>
    <row r="154" spans="2:15" x14ac:dyDescent="0.25">
      <c r="B154" s="310" t="s">
        <v>283</v>
      </c>
      <c r="C154" s="311">
        <v>3</v>
      </c>
      <c r="D154" s="313" t="str">
        <f>VLOOKUP(C154,'Axe 4'!$D$6:$G$25,4,FALSE)</f>
        <v>La collectivité suit l'évolution des coûts d'une année sur l'autre</v>
      </c>
      <c r="E154" s="313" t="s">
        <v>73</v>
      </c>
      <c r="F154" s="363">
        <f>INDEX('Note finale'!$B$5:$AA$26,MATCH(B154,'Note finale'!$B$5:$B$26,0),MATCH(E154,'Note finale'!$B$4:$AA$4,0))</f>
        <v>6.9188191881918819E-3</v>
      </c>
      <c r="G154" s="313"/>
      <c r="H154" s="17"/>
      <c r="I154" s="152" t="s">
        <v>408</v>
      </c>
      <c r="J154" s="339" t="s">
        <v>688</v>
      </c>
      <c r="K154" s="320" t="s">
        <v>409</v>
      </c>
      <c r="L154" s="355"/>
      <c r="M154" s="152"/>
      <c r="N154" s="16"/>
      <c r="O154" s="312"/>
    </row>
    <row r="155" spans="2:15" ht="38.25" x14ac:dyDescent="0.25">
      <c r="B155" s="310" t="s">
        <v>283</v>
      </c>
      <c r="C155" s="311">
        <v>4</v>
      </c>
      <c r="D155" s="313" t="str">
        <f>VLOOKUP(C155,'Axe 4'!$D$6:$G$25,4,FALSE)</f>
        <v>Les postes de charges et de recettes ont été analysés dans le détail pour identifier les marges d'optimisation. Si cela est nécessaire, la collectivité a étudié une réorganisation possible des coûts.</v>
      </c>
      <c r="E155" s="313" t="s">
        <v>73</v>
      </c>
      <c r="F155" s="363">
        <f>INDEX('Note finale'!$B$5:$AA$26,MATCH(B155,'Note finale'!$B$5:$B$26,0),MATCH(E155,'Note finale'!$B$4:$AA$4,0))</f>
        <v>6.9188191881918819E-3</v>
      </c>
      <c r="G155" s="313"/>
      <c r="H155" s="17"/>
      <c r="I155" s="152"/>
      <c r="J155" s="17"/>
      <c r="K155" s="320"/>
      <c r="L155" s="355"/>
      <c r="M155" s="152"/>
      <c r="N155" s="16"/>
      <c r="O155" s="312"/>
    </row>
    <row r="156" spans="2:15" ht="25.5" x14ac:dyDescent="0.25">
      <c r="B156" s="310" t="s">
        <v>283</v>
      </c>
      <c r="C156" s="311">
        <v>5</v>
      </c>
      <c r="D156" s="313" t="str">
        <f>VLOOKUP(C156,'Axe 4'!$D$6:$G$25,4,FALSE)</f>
        <v xml:space="preserve">Des actions d'optimisation des coûts ont été mises en place. </v>
      </c>
      <c r="E156" s="313" t="s">
        <v>73</v>
      </c>
      <c r="F156" s="363">
        <f>INDEX('Note finale'!$B$5:$AA$26,MATCH(B156,'Note finale'!$B$5:$B$26,0),MATCH(E156,'Note finale'!$B$4:$AA$4,0))</f>
        <v>6.9188191881918819E-3</v>
      </c>
      <c r="G156" s="313"/>
      <c r="H156" s="17" t="s">
        <v>505</v>
      </c>
      <c r="I156" s="152" t="s">
        <v>421</v>
      </c>
      <c r="J156" s="17" t="s">
        <v>506</v>
      </c>
      <c r="K156" s="320"/>
      <c r="L156" s="355"/>
      <c r="M156" s="152"/>
      <c r="N156" s="16"/>
      <c r="O156" s="312"/>
    </row>
    <row r="157" spans="2:15" ht="25.5" x14ac:dyDescent="0.25">
      <c r="B157" s="310" t="s">
        <v>283</v>
      </c>
      <c r="C157" s="311">
        <v>6</v>
      </c>
      <c r="D157" s="313" t="str">
        <f>VLOOKUP(C157,'Axe 4'!$D$6:$G$25,4,FALSE)</f>
        <v>La collectivité se situe par rapport aux référentiels ADEME coûts et collecte</v>
      </c>
      <c r="E157" s="313" t="s">
        <v>75</v>
      </c>
      <c r="F157" s="363">
        <f>INDEX('Note finale'!$B$5:$AA$26,MATCH(B157,'Note finale'!$B$5:$B$26,0),MATCH(E157,'Note finale'!$B$4:$AA$4,0))</f>
        <v>1.3837638376383764E-2</v>
      </c>
      <c r="G157" s="313"/>
      <c r="H157" s="17"/>
      <c r="I157" s="152" t="s">
        <v>408</v>
      </c>
      <c r="J157" s="17" t="s">
        <v>876</v>
      </c>
      <c r="K157" s="320" t="s">
        <v>409</v>
      </c>
      <c r="L157" s="355"/>
      <c r="M157" s="152"/>
      <c r="N157" s="16"/>
      <c r="O157" s="312"/>
    </row>
    <row r="158" spans="2:15" ht="38.25" x14ac:dyDescent="0.25">
      <c r="B158" s="310" t="s">
        <v>299</v>
      </c>
      <c r="C158" s="311">
        <v>7</v>
      </c>
      <c r="D158" s="313" t="str">
        <f>VLOOKUP(C158,'Axe 4'!$D$6:$G$25,4,FALSE)</f>
        <v>La collectivité étudie la mise en place d'un système de tarification incitative (y compris redevance spéciale en cas de TEOM incitative) sur l'ensemble du territoire.</v>
      </c>
      <c r="E158" s="313" t="s">
        <v>67</v>
      </c>
      <c r="F158" s="363">
        <f>INDEX('Note finale'!$B$5:$AA$26,MATCH(B158,'Note finale'!$B$5:$B$26,0),MATCH(E158,'Note finale'!$B$4:$AA$4,0))</f>
        <v>1.6605166051660517E-2</v>
      </c>
      <c r="G158" s="313"/>
      <c r="H158" s="17" t="s">
        <v>507</v>
      </c>
      <c r="I158" s="152" t="s">
        <v>408</v>
      </c>
      <c r="J158" s="17" t="s">
        <v>508</v>
      </c>
      <c r="K158" s="320"/>
      <c r="L158" s="355"/>
      <c r="M158" s="152"/>
      <c r="N158" s="16"/>
      <c r="O158" s="312"/>
    </row>
    <row r="159" spans="2:15" ht="191.25" x14ac:dyDescent="0.25">
      <c r="B159" s="310" t="s">
        <v>299</v>
      </c>
      <c r="C159" s="311">
        <v>8</v>
      </c>
      <c r="D159" s="313" t="str">
        <f>VLOOKUP(C159,'Axe 4'!$D$6:$G$25,4,FALSE)</f>
        <v xml:space="preserve">Si cela est pertinent pour la collectivité, celle-ci met en place la tarification incitative (y compris redevance spéciale en cas de TEOM incitative) et optimise les recettes liées à la réalisation du service.  </v>
      </c>
      <c r="E159" s="313" t="s">
        <v>73</v>
      </c>
      <c r="F159" s="363">
        <f>INDEX('Note finale'!$B$5:$AA$26,MATCH(B159,'Note finale'!$B$5:$B$26,0),MATCH(E159,'Note finale'!$B$4:$AA$4,0))</f>
        <v>1.6605166051660517E-2</v>
      </c>
      <c r="G159" s="313"/>
      <c r="H159" s="17" t="s">
        <v>509</v>
      </c>
      <c r="I159" s="152" t="s">
        <v>421</v>
      </c>
      <c r="J159" s="17" t="s">
        <v>311</v>
      </c>
      <c r="K159" s="320" t="s">
        <v>689</v>
      </c>
      <c r="L159" s="355"/>
      <c r="M159" s="152"/>
      <c r="N159" s="16"/>
      <c r="O159" s="312"/>
    </row>
    <row r="160" spans="2:15" ht="38.25" x14ac:dyDescent="0.25">
      <c r="B160" s="310" t="s">
        <v>299</v>
      </c>
      <c r="C160" s="311">
        <v>9</v>
      </c>
      <c r="D160" s="313" t="str">
        <f>VLOOKUP(C160,'Axe 4'!$D$6:$G$25,4,FALSE)</f>
        <v>La collectivité expérimente d'autres systèmes de rémunération des coûts évités.</v>
      </c>
      <c r="E160" s="313" t="s">
        <v>73</v>
      </c>
      <c r="F160" s="363">
        <f>INDEX('Note finale'!$B$5:$AA$26,MATCH(B160,'Note finale'!$B$5:$B$26,0),MATCH(E160,'Note finale'!$B$4:$AA$4,0))</f>
        <v>1.6605166051660517E-2</v>
      </c>
      <c r="G160" s="313"/>
      <c r="H160" s="17" t="s">
        <v>510</v>
      </c>
      <c r="I160" s="152" t="s">
        <v>421</v>
      </c>
      <c r="J160" s="17" t="s">
        <v>511</v>
      </c>
      <c r="K160" s="320"/>
      <c r="L160" s="355"/>
      <c r="M160" s="152"/>
      <c r="N160" s="16"/>
      <c r="O160" s="312"/>
    </row>
    <row r="161" spans="2:15" ht="25.5" x14ac:dyDescent="0.25">
      <c r="B161" s="310" t="s">
        <v>299</v>
      </c>
      <c r="C161" s="311">
        <v>10</v>
      </c>
      <c r="D161" s="313" t="str">
        <f>VLOOKUP(C161,'Axe 4'!$D$6:$G$25,4,FALSE)</f>
        <v>La collectivité comptabilise les flux monétaires restant sur son territoire</v>
      </c>
      <c r="E161" s="313" t="s">
        <v>75</v>
      </c>
      <c r="F161" s="363">
        <f>INDEX('Note finale'!$B$5:$AA$26,MATCH(B161,'Note finale'!$B$5:$B$26,0),MATCH(E161,'Note finale'!$B$4:$AA$4,0))</f>
        <v>5.5350553505535052E-3</v>
      </c>
      <c r="G161" s="313"/>
      <c r="H161" s="17"/>
      <c r="I161" s="152"/>
      <c r="J161" s="17"/>
      <c r="K161" s="320"/>
      <c r="L161" s="355"/>
      <c r="M161" s="152"/>
      <c r="N161" s="16"/>
      <c r="O161" s="312"/>
    </row>
    <row r="162" spans="2:15" ht="51" x14ac:dyDescent="0.25">
      <c r="B162" s="310" t="s">
        <v>306</v>
      </c>
      <c r="C162" s="311">
        <v>11</v>
      </c>
      <c r="D162" s="313" t="str">
        <f>VLOOKUP(C162,'Axe 4'!$D$6:$G$25,4,FALSE)</f>
        <v>La collectivité assure une veille sur les moyens de financement existants pour développer et porter des projets d'économie circulaire (accompagnement financier de la Région, ADEME, BPI, CDC, financements européens, crowdfunding…).</v>
      </c>
      <c r="E162" s="313" t="s">
        <v>67</v>
      </c>
      <c r="F162" s="363">
        <f>INDEX('Note finale'!$B$5:$AA$26,MATCH(B162,'Note finale'!$B$5:$B$26,0),MATCH(E162,'Note finale'!$B$4:$AA$4,0))</f>
        <v>0</v>
      </c>
      <c r="G162" s="313"/>
      <c r="H162" s="17" t="s">
        <v>877</v>
      </c>
      <c r="I162" s="152" t="s">
        <v>408</v>
      </c>
      <c r="J162" s="17" t="s">
        <v>878</v>
      </c>
      <c r="K162" s="320" t="s">
        <v>409</v>
      </c>
      <c r="L162" s="355"/>
      <c r="M162" s="152"/>
      <c r="N162" s="16"/>
      <c r="O162" s="312"/>
    </row>
    <row r="163" spans="2:15" ht="25.5" x14ac:dyDescent="0.25">
      <c r="B163" s="310" t="s">
        <v>306</v>
      </c>
      <c r="C163" s="311">
        <v>12</v>
      </c>
      <c r="D163" s="313" t="str">
        <f>VLOOKUP(C163,'Axe 4'!$D$6:$G$25,4,FALSE)</f>
        <v>La collectivité communique sur ces moyens de financement</v>
      </c>
      <c r="E163" s="313" t="s">
        <v>67</v>
      </c>
      <c r="F163" s="363">
        <f>INDEX('Note finale'!$B$5:$AA$26,MATCH(B163,'Note finale'!$B$5:$B$26,0),MATCH(E163,'Note finale'!$B$4:$AA$4,0))</f>
        <v>0</v>
      </c>
      <c r="G163" s="313"/>
      <c r="H163" s="331" t="s">
        <v>496</v>
      </c>
      <c r="I163" s="152" t="s">
        <v>408</v>
      </c>
      <c r="J163" s="17" t="s">
        <v>822</v>
      </c>
      <c r="K163" s="320"/>
      <c r="L163" s="355" t="s">
        <v>496</v>
      </c>
      <c r="M163" s="152" t="s">
        <v>408</v>
      </c>
      <c r="N163" s="16" t="s">
        <v>823</v>
      </c>
      <c r="O163" s="312" t="s">
        <v>409</v>
      </c>
    </row>
    <row r="164" spans="2:15" ht="25.5" x14ac:dyDescent="0.25">
      <c r="B164" s="310" t="s">
        <v>306</v>
      </c>
      <c r="C164" s="311">
        <v>13</v>
      </c>
      <c r="D164" s="313" t="str">
        <f>VLOOKUP(C164,'Axe 4'!$D$6:$G$25,4,FALSE)</f>
        <v>En particulier, la collectivité améliore la lisibilité des financements disponibles pour les acteurs de l'ESS de petite taille.</v>
      </c>
      <c r="E164" s="313" t="s">
        <v>67</v>
      </c>
      <c r="F164" s="363">
        <f>INDEX('Note finale'!$B$5:$AA$26,MATCH(B164,'Note finale'!$B$5:$B$26,0),MATCH(E164,'Note finale'!$B$4:$AA$4,0))</f>
        <v>0</v>
      </c>
      <c r="G164" s="313"/>
      <c r="H164" s="17"/>
      <c r="I164" s="152"/>
      <c r="J164" s="17"/>
      <c r="K164" s="320"/>
      <c r="L164" s="355"/>
      <c r="M164" s="152"/>
      <c r="N164" s="16"/>
      <c r="O164" s="312"/>
    </row>
    <row r="165" spans="2:15" ht="38.25" x14ac:dyDescent="0.25">
      <c r="B165" s="310" t="s">
        <v>306</v>
      </c>
      <c r="C165" s="311">
        <v>14</v>
      </c>
      <c r="D165" s="313" t="str">
        <f>VLOOKUP(C165,'Axe 4'!$D$6:$G$25,4,FALSE)</f>
        <v>La collectivité accompagne les acteurs de l'économie circulaire sur son territoire  dans leur recherche de financements en fonction de leurs besoins</v>
      </c>
      <c r="E165" s="313" t="s">
        <v>73</v>
      </c>
      <c r="F165" s="363">
        <f>INDEX('Note finale'!$B$5:$AA$26,MATCH(B165,'Note finale'!$B$5:$B$26,0),MATCH(E165,'Note finale'!$B$4:$AA$4,0))</f>
        <v>0</v>
      </c>
      <c r="G165" s="313"/>
      <c r="H165" s="17"/>
      <c r="I165" s="152"/>
      <c r="J165" s="17"/>
      <c r="K165" s="320"/>
      <c r="L165" s="355"/>
      <c r="M165" s="152"/>
      <c r="N165" s="16"/>
      <c r="O165" s="312"/>
    </row>
    <row r="166" spans="2:15" ht="51" x14ac:dyDescent="0.25">
      <c r="B166" s="310" t="s">
        <v>306</v>
      </c>
      <c r="C166" s="311">
        <v>15</v>
      </c>
      <c r="D166" s="313" t="str">
        <f>VLOOKUP(C166,'Axe 4'!$D$6:$G$25,4,FALSE)</f>
        <v>La collectivité propose des financements avec des tickets d'entrée moins élevés à destination des acteurs de l'ESS. Dans la mesure du possible, elle propose davantage de financements structurels pour favoriser la pérennisation des activités et des emplois</v>
      </c>
      <c r="E166" s="313" t="s">
        <v>73</v>
      </c>
      <c r="F166" s="363">
        <f>INDEX('Note finale'!$B$5:$AA$26,MATCH(B166,'Note finale'!$B$5:$B$26,0),MATCH(E166,'Note finale'!$B$4:$AA$4,0))</f>
        <v>0</v>
      </c>
      <c r="G166" s="313"/>
      <c r="H166" s="17" t="s">
        <v>497</v>
      </c>
      <c r="I166" s="152" t="s">
        <v>498</v>
      </c>
      <c r="J166" s="17" t="s">
        <v>499</v>
      </c>
      <c r="K166" s="320" t="s">
        <v>500</v>
      </c>
      <c r="L166" s="355"/>
      <c r="M166" s="152"/>
      <c r="N166" s="16"/>
      <c r="O166" s="312"/>
    </row>
    <row r="167" spans="2:15" ht="25.5" x14ac:dyDescent="0.25">
      <c r="B167" s="310" t="s">
        <v>306</v>
      </c>
      <c r="C167" s="311">
        <v>16</v>
      </c>
      <c r="D167" s="313" t="str">
        <f>VLOOKUP(C167,'Axe 4'!$D$6:$G$25,4,FALSE)</f>
        <v>La collectivité réserve une part de son budget au financement de projets sur le sujet de l'économie circulaire.</v>
      </c>
      <c r="E167" s="313" t="s">
        <v>73</v>
      </c>
      <c r="F167" s="363">
        <f>INDEX('Note finale'!$B$5:$AA$26,MATCH(B167,'Note finale'!$B$5:$B$26,0),MATCH(E167,'Note finale'!$B$4:$AA$4,0))</f>
        <v>0</v>
      </c>
      <c r="G167" s="313"/>
      <c r="H167" s="17" t="s">
        <v>497</v>
      </c>
      <c r="I167" s="152" t="s">
        <v>421</v>
      </c>
      <c r="J167" s="17" t="s">
        <v>501</v>
      </c>
      <c r="K167" s="320"/>
      <c r="L167" s="355"/>
      <c r="M167" s="152"/>
      <c r="N167" s="16"/>
      <c r="O167" s="312"/>
    </row>
    <row r="168" spans="2:15" ht="38.25" x14ac:dyDescent="0.25">
      <c r="B168" s="310" t="s">
        <v>306</v>
      </c>
      <c r="C168" s="311">
        <v>17</v>
      </c>
      <c r="D168" s="313" t="str">
        <f>VLOOKUP(C168,'Axe 4'!$D$6:$G$25,4,FALSE)</f>
        <v>La collectivité engage une part de ses ressources sur des actions de coopération internaionale (promotion de l'économie circulaire dans les pays du Sud avec le 1% déchet)</v>
      </c>
      <c r="E168" s="313" t="s">
        <v>73</v>
      </c>
      <c r="F168" s="363">
        <f>INDEX('Note finale'!$B$5:$AA$26,MATCH(B168,'Note finale'!$B$5:$B$26,0),MATCH(E168,'Note finale'!$B$4:$AA$4,0))</f>
        <v>0</v>
      </c>
      <c r="G168" s="313"/>
      <c r="H168" s="17" t="s">
        <v>880</v>
      </c>
      <c r="I168" s="152" t="s">
        <v>421</v>
      </c>
      <c r="J168" s="17" t="s">
        <v>690</v>
      </c>
      <c r="K168" s="320"/>
      <c r="L168" s="355"/>
      <c r="M168" s="152"/>
      <c r="N168" s="16"/>
      <c r="O168" s="312"/>
    </row>
    <row r="169" spans="2:15" ht="25.5" x14ac:dyDescent="0.25">
      <c r="B169" s="314" t="s">
        <v>306</v>
      </c>
      <c r="C169" s="315">
        <v>18</v>
      </c>
      <c r="D169" s="316" t="str">
        <f>VLOOKUP(C169,'Axe 4'!$D$6:$G$25,4,FALSE)</f>
        <v>Elle identifie, valorise et communique autour des démarches exemplaires du territoire.</v>
      </c>
      <c r="E169" s="316" t="s">
        <v>75</v>
      </c>
      <c r="F169" s="364">
        <f>INDEX('Note finale'!$B$5:$AA$26,MATCH(B169,'Note finale'!$B$5:$B$26,0),MATCH(E169,'Note finale'!$B$4:$AA$4,0))</f>
        <v>0</v>
      </c>
      <c r="G169" s="316"/>
      <c r="H169" s="317" t="s">
        <v>502</v>
      </c>
      <c r="I169" s="153" t="s">
        <v>40</v>
      </c>
      <c r="J169" s="317" t="s">
        <v>503</v>
      </c>
      <c r="K169" s="321"/>
      <c r="L169" s="356"/>
      <c r="M169" s="153"/>
      <c r="N169" s="348"/>
      <c r="O169" s="318"/>
    </row>
    <row r="170" spans="2:15" s="244" customFormat="1" x14ac:dyDescent="0.25">
      <c r="B170" s="344"/>
      <c r="C170" s="344"/>
      <c r="D170" s="345"/>
      <c r="E170" s="345"/>
      <c r="F170" s="366"/>
      <c r="G170" s="345"/>
      <c r="H170" s="346"/>
      <c r="I170" s="347"/>
      <c r="J170" s="346"/>
      <c r="K170" s="347"/>
      <c r="L170" s="352"/>
      <c r="M170" s="347"/>
      <c r="N170" s="352"/>
      <c r="O170" s="347"/>
    </row>
    <row r="171" spans="2:15" ht="25.5" x14ac:dyDescent="0.25">
      <c r="B171" s="305" t="s">
        <v>315</v>
      </c>
      <c r="C171" s="306">
        <v>1</v>
      </c>
      <c r="D171" s="307" t="str">
        <f>VLOOKUP(C171,'Axe 5'!$D$6:$G$24,4,FALSE)</f>
        <v>La collectivité organise une consultation auprès des citoyens concernant son projet et sa stratégie EC</v>
      </c>
      <c r="E171" s="307" t="s">
        <v>67</v>
      </c>
      <c r="F171" s="362">
        <f>INDEX('Note finale'!$B$5:$AA$26,MATCH(B171,'Note finale'!$B$5:$B$26,0),MATCH(E171,'Note finale'!$B$4:$AA$4,0))</f>
        <v>8.3025830258302586E-3</v>
      </c>
      <c r="G171" s="307"/>
      <c r="H171" s="336"/>
      <c r="I171" s="337"/>
      <c r="J171" s="275"/>
      <c r="K171" s="319"/>
      <c r="L171" s="354"/>
      <c r="M171" s="151"/>
      <c r="N171" s="51"/>
      <c r="O171" s="309"/>
    </row>
    <row r="172" spans="2:15" ht="25.5" x14ac:dyDescent="0.25">
      <c r="B172" s="310" t="s">
        <v>315</v>
      </c>
      <c r="C172" s="311">
        <v>2</v>
      </c>
      <c r="D172" s="313" t="str">
        <f>VLOOKUP(C172,'Axe 5'!$D$6:$G$24,4,FALSE)</f>
        <v>La collectivité réalise une concertation collaborative pour l'élaboration de son projet d'économie circulaire</v>
      </c>
      <c r="E172" s="313" t="s">
        <v>67</v>
      </c>
      <c r="F172" s="363">
        <f>INDEX('Note finale'!$B$5:$AA$26,MATCH(B172,'Note finale'!$B$5:$B$26,0),MATCH(E172,'Note finale'!$B$4:$AA$4,0))</f>
        <v>8.3025830258302586E-3</v>
      </c>
      <c r="G172" s="313"/>
      <c r="H172" s="331" t="s">
        <v>512</v>
      </c>
      <c r="I172" s="152" t="s">
        <v>408</v>
      </c>
      <c r="J172" s="17" t="s">
        <v>824</v>
      </c>
      <c r="K172" s="320"/>
      <c r="L172" s="355" t="s">
        <v>825</v>
      </c>
      <c r="M172" s="152" t="s">
        <v>40</v>
      </c>
      <c r="N172" s="16" t="s">
        <v>826</v>
      </c>
      <c r="O172" s="312"/>
    </row>
    <row r="173" spans="2:15" ht="25.5" x14ac:dyDescent="0.25">
      <c r="B173" s="310" t="s">
        <v>315</v>
      </c>
      <c r="C173" s="311">
        <v>3</v>
      </c>
      <c r="D173" s="313" t="str">
        <f>VLOOKUP(C173,'Axe 5'!$D$6:$G$24,4,FALSE)</f>
        <v xml:space="preserve">La collectivité sensibilise les acteurs du territoire à son projet d'économie circulaire </v>
      </c>
      <c r="E173" s="313" t="s">
        <v>73</v>
      </c>
      <c r="F173" s="363">
        <f>INDEX('Note finale'!$B$5:$AA$26,MATCH(B173,'Note finale'!$B$5:$B$26,0),MATCH(E173,'Note finale'!$B$4:$AA$4,0))</f>
        <v>1.107011070110701E-2</v>
      </c>
      <c r="G173" s="313"/>
      <c r="H173" s="331" t="s">
        <v>829</v>
      </c>
      <c r="I173" s="152" t="s">
        <v>408</v>
      </c>
      <c r="J173" s="17" t="s">
        <v>827</v>
      </c>
      <c r="K173" s="320"/>
      <c r="L173" s="355" t="s">
        <v>829</v>
      </c>
      <c r="M173" s="152" t="s">
        <v>408</v>
      </c>
      <c r="N173" s="16" t="s">
        <v>828</v>
      </c>
      <c r="O173" s="312" t="s">
        <v>409</v>
      </c>
    </row>
    <row r="174" spans="2:15" ht="38.25" x14ac:dyDescent="0.25">
      <c r="B174" s="310" t="s">
        <v>315</v>
      </c>
      <c r="C174" s="311">
        <v>4</v>
      </c>
      <c r="D174" s="313" t="str">
        <f>VLOOKUP(C174,'Axe 5'!$D$6:$G$24,4,FALSE)</f>
        <v>La collectivité met en place des rencontres (de type "formation-action") pour faciliter l'expression de projets d'actions d'économie circulaire proposées et portées par les acteurs du territoire</v>
      </c>
      <c r="E174" s="313" t="s">
        <v>73</v>
      </c>
      <c r="F174" s="363">
        <f>INDEX('Note finale'!$B$5:$AA$26,MATCH(B174,'Note finale'!$B$5:$B$26,0),MATCH(E174,'Note finale'!$B$4:$AA$4,0))</f>
        <v>1.107011070110701E-2</v>
      </c>
      <c r="G174" s="313"/>
      <c r="H174" s="17" t="s">
        <v>513</v>
      </c>
      <c r="I174" s="152" t="s">
        <v>40</v>
      </c>
      <c r="J174" s="17" t="s">
        <v>691</v>
      </c>
      <c r="K174" s="320"/>
      <c r="L174" s="355"/>
      <c r="M174" s="152"/>
      <c r="N174" s="16"/>
      <c r="O174" s="312"/>
    </row>
    <row r="175" spans="2:15" ht="38.25" x14ac:dyDescent="0.25">
      <c r="B175" s="310" t="s">
        <v>315</v>
      </c>
      <c r="C175" s="311">
        <v>5</v>
      </c>
      <c r="D175" s="313" t="str">
        <f>VLOOKUP(C175,'Axe 5'!$D$6:$G$24,4,FALSE)</f>
        <v xml:space="preserve">La collectivité mène une politique d’éducation populaire : elle identifie et forme les citoyens et associations relais de sa politique Economie Circulaire </v>
      </c>
      <c r="E175" s="313" t="s">
        <v>73</v>
      </c>
      <c r="F175" s="363">
        <f>INDEX('Note finale'!$B$5:$AA$26,MATCH(B175,'Note finale'!$B$5:$B$26,0),MATCH(E175,'Note finale'!$B$4:$AA$4,0))</f>
        <v>1.107011070110701E-2</v>
      </c>
      <c r="G175" s="313"/>
      <c r="H175" s="17" t="s">
        <v>515</v>
      </c>
      <c r="I175" s="152" t="s">
        <v>40</v>
      </c>
      <c r="J175" s="17" t="s">
        <v>516</v>
      </c>
      <c r="K175" s="320"/>
      <c r="L175" s="355"/>
      <c r="M175" s="152"/>
      <c r="N175" s="16"/>
      <c r="O175" s="312"/>
    </row>
    <row r="176" spans="2:15" ht="38.25" x14ac:dyDescent="0.25">
      <c r="B176" s="310" t="s">
        <v>315</v>
      </c>
      <c r="C176" s="311">
        <v>6</v>
      </c>
      <c r="D176" s="313" t="str">
        <f>VLOOKUP(C176,'Axe 5'!$D$6:$G$24,4,FALSE)</f>
        <v>Les partenaires et relais formés mettent en place des actions, qui contribuent à la construction/évolution de la politique d'économie circulaire, et agissent dans leurs sphères respectives</v>
      </c>
      <c r="E176" s="313" t="s">
        <v>75</v>
      </c>
      <c r="F176" s="363">
        <f>INDEX('Note finale'!$B$5:$AA$26,MATCH(B176,'Note finale'!$B$5:$B$26,0),MATCH(E176,'Note finale'!$B$4:$AA$4,0))</f>
        <v>5.5350553505535052E-3</v>
      </c>
      <c r="G176" s="313"/>
      <c r="H176" s="331" t="s">
        <v>514</v>
      </c>
      <c r="I176" s="152" t="s">
        <v>447</v>
      </c>
      <c r="J176" s="17" t="s">
        <v>830</v>
      </c>
      <c r="K176" s="320"/>
      <c r="L176" s="355" t="s">
        <v>514</v>
      </c>
      <c r="M176" s="152" t="s">
        <v>408</v>
      </c>
      <c r="N176" s="16" t="s">
        <v>831</v>
      </c>
      <c r="O176" s="312"/>
    </row>
    <row r="177" spans="2:15" ht="38.25" x14ac:dyDescent="0.25">
      <c r="B177" s="310" t="s">
        <v>325</v>
      </c>
      <c r="C177" s="311">
        <v>7</v>
      </c>
      <c r="D177" s="313" t="str">
        <f>VLOOKUP(C177,'Axe 5'!$D$6:$G$24,4,FALSE)</f>
        <v>La collectivité sensibilise ses collectivités infra (collectivités adhérentes dans le cas d’un syndicat) pour  leur présenter son  projet de politique Economie Circulaire</v>
      </c>
      <c r="E177" s="313" t="s">
        <v>67</v>
      </c>
      <c r="F177" s="363">
        <f>INDEX('Note finale'!$B$5:$AA$26,MATCH(B177,'Note finale'!$B$5:$B$26,0),MATCH(E177,'Note finale'!$B$4:$AA$4,0))</f>
        <v>1.107011070110701E-2</v>
      </c>
      <c r="G177" s="313"/>
      <c r="H177" s="17" t="s">
        <v>517</v>
      </c>
      <c r="I177" s="152" t="s">
        <v>421</v>
      </c>
      <c r="J177" s="17" t="s">
        <v>518</v>
      </c>
      <c r="K177" s="320"/>
      <c r="L177" s="355"/>
      <c r="M177" s="152"/>
      <c r="N177" s="16"/>
      <c r="O177" s="312"/>
    </row>
    <row r="178" spans="2:15" ht="51" x14ac:dyDescent="0.25">
      <c r="B178" s="310" t="s">
        <v>325</v>
      </c>
      <c r="C178" s="311">
        <v>8</v>
      </c>
      <c r="D178" s="313" t="str">
        <f>VLOOKUP(C178,'Axe 5'!$D$6:$G$24,4,FALSE)</f>
        <v>La collectivité dispose d'un correspondant Economie Circulaire dans chacune des ses collectivités infra (collectivités adhérentes dans le cas d’un syndicat) . Il peut s'agir du correspondant Développement Durable éventuellement.</v>
      </c>
      <c r="E178" s="313" t="s">
        <v>73</v>
      </c>
      <c r="F178" s="363">
        <f>INDEX('Note finale'!$B$5:$AA$26,MATCH(B178,'Note finale'!$B$5:$B$26,0),MATCH(E178,'Note finale'!$B$4:$AA$4,0))</f>
        <v>7.3800738007380072E-3</v>
      </c>
      <c r="G178" s="313"/>
      <c r="H178" s="17" t="s">
        <v>519</v>
      </c>
      <c r="I178" s="152" t="s">
        <v>421</v>
      </c>
      <c r="J178" s="17" t="s">
        <v>520</v>
      </c>
      <c r="K178" s="320"/>
      <c r="L178" s="355"/>
      <c r="M178" s="152"/>
      <c r="N178" s="16"/>
      <c r="O178" s="312"/>
    </row>
    <row r="179" spans="2:15" ht="63.75" x14ac:dyDescent="0.25">
      <c r="B179" s="310" t="s">
        <v>325</v>
      </c>
      <c r="C179" s="311">
        <v>9</v>
      </c>
      <c r="D179" s="313" t="str">
        <f>VLOOKUP(C179,'Axe 5'!$D$6:$G$24,4,FALSE)</f>
        <v>Les collectivités infra (collectivités adhérentes dans le cas d’un syndicat) sont des démultiplicateurs de la politique Economie Circulaire sur leur territoire : elles animent et élargissent le périmètre d’action de la collectivité initiatrice,  et ce dans tous les domaines de l'EC</v>
      </c>
      <c r="E179" s="313" t="s">
        <v>73</v>
      </c>
      <c r="F179" s="363">
        <f>INDEX('Note finale'!$B$5:$AA$26,MATCH(B179,'Note finale'!$B$5:$B$26,0),MATCH(E179,'Note finale'!$B$4:$AA$4,0))</f>
        <v>7.3800738007380072E-3</v>
      </c>
      <c r="G179" s="313"/>
      <c r="H179" s="17" t="s">
        <v>521</v>
      </c>
      <c r="I179" s="152" t="s">
        <v>447</v>
      </c>
      <c r="J179" s="17" t="s">
        <v>522</v>
      </c>
      <c r="K179" s="320"/>
      <c r="L179" s="355"/>
      <c r="M179" s="152"/>
      <c r="N179" s="16"/>
      <c r="O179" s="312"/>
    </row>
    <row r="180" spans="2:15" ht="51" x14ac:dyDescent="0.25">
      <c r="B180" s="310" t="s">
        <v>325</v>
      </c>
      <c r="C180" s="311">
        <v>10</v>
      </c>
      <c r="D180" s="313" t="str">
        <f>VLOOKUP(C180,'Axe 5'!$D$6:$G$24,4,FALSE)</f>
        <v>Les collectivités infra (collectivités adhérentes dans le cas d’un syndicat) élargissent le périmètre d'action de la collectivité initiatrice : elles initient et/ou encouragent elles-mêmes des actions d'économie circulaire sur leur territoire</v>
      </c>
      <c r="E180" s="313" t="s">
        <v>75</v>
      </c>
      <c r="F180" s="363">
        <f>INDEX('Note finale'!$B$5:$AA$26,MATCH(B180,'Note finale'!$B$5:$B$26,0),MATCH(E180,'Note finale'!$B$4:$AA$4,0))</f>
        <v>1.107011070110701E-2</v>
      </c>
      <c r="G180" s="313"/>
      <c r="H180" s="17"/>
      <c r="I180" s="152"/>
      <c r="J180" s="17"/>
      <c r="K180" s="320"/>
      <c r="L180" s="355"/>
      <c r="M180" s="152"/>
      <c r="N180" s="16"/>
      <c r="O180" s="312"/>
    </row>
    <row r="181" spans="2:15" ht="51" x14ac:dyDescent="0.25">
      <c r="B181" s="310" t="s">
        <v>332</v>
      </c>
      <c r="C181" s="311">
        <v>11</v>
      </c>
      <c r="D181" s="313" t="str">
        <f>VLOOKUP(C181,'Axe 5'!$D$6:$G$24,4,FALSE)</f>
        <v>La collectivité conclut des conventions de partenariats avec les "têtes  de réseaux" notamment sur les filières à enjeux identifiés dans l'axe 1 (chambres d'agriculture, CMA, CCI, Union  patronale, union des commerçants, FFB, CAPEB…).</v>
      </c>
      <c r="E181" s="313" t="s">
        <v>67</v>
      </c>
      <c r="F181" s="363">
        <f>INDEX('Note finale'!$B$5:$AA$26,MATCH(B181,'Note finale'!$B$5:$B$26,0),MATCH(E181,'Note finale'!$B$4:$AA$4,0))</f>
        <v>5.5350553505535052E-3</v>
      </c>
      <c r="G181" s="313"/>
      <c r="H181" s="331" t="s">
        <v>523</v>
      </c>
      <c r="I181" s="152" t="s">
        <v>40</v>
      </c>
      <c r="J181" s="17" t="s">
        <v>832</v>
      </c>
      <c r="K181" s="320"/>
      <c r="L181" s="355"/>
      <c r="M181" s="152"/>
      <c r="N181" s="16"/>
      <c r="O181" s="312"/>
    </row>
    <row r="182" spans="2:15" ht="38.25" x14ac:dyDescent="0.25">
      <c r="B182" s="310" t="s">
        <v>332</v>
      </c>
      <c r="C182" s="311">
        <v>12</v>
      </c>
      <c r="D182" s="313" t="str">
        <f>VLOOKUP(C182,'Axe 5'!$D$6:$G$24,4,FALSE)</f>
        <v xml:space="preserve">La collectivité établit des contacts réguliers avec les acteurs principaux identifiés en 1.1 pour prendre la mesure de leurs besoins et une meilleure connaissance de leurs activités  </v>
      </c>
      <c r="E182" s="313" t="s">
        <v>67</v>
      </c>
      <c r="F182" s="363">
        <f>INDEX('Note finale'!$B$5:$AA$26,MATCH(B182,'Note finale'!$B$5:$B$26,0),MATCH(E182,'Note finale'!$B$4:$AA$4,0))</f>
        <v>5.5350553505535052E-3</v>
      </c>
      <c r="G182" s="313"/>
      <c r="H182" s="17"/>
      <c r="I182" s="152"/>
      <c r="J182" s="17"/>
      <c r="K182" s="320"/>
      <c r="L182" s="355"/>
      <c r="M182" s="152"/>
      <c r="N182" s="16"/>
      <c r="O182" s="312"/>
    </row>
    <row r="183" spans="2:15" ht="51" x14ac:dyDescent="0.25">
      <c r="B183" s="310" t="s">
        <v>332</v>
      </c>
      <c r="C183" s="311">
        <v>13</v>
      </c>
      <c r="D183" s="313" t="str">
        <f>VLOOKUP(C183,'Axe 5'!$D$6:$G$24,4,FALSE)</f>
        <v>La collectivité organise des rencontres / tables rondes / clubs d'entrepreneurs entre les entreprises du territoire (y compris de l'ESS) afin de favoriser la mise en réseau de celles-ci, notamment sur les filières à enjeux identifiés dans l'axe 1.</v>
      </c>
      <c r="E183" s="313" t="s">
        <v>67</v>
      </c>
      <c r="F183" s="363">
        <f>INDEX('Note finale'!$B$5:$AA$26,MATCH(B183,'Note finale'!$B$5:$B$26,0),MATCH(E183,'Note finale'!$B$4:$AA$4,0))</f>
        <v>5.5350553505535052E-3</v>
      </c>
      <c r="G183" s="313"/>
      <c r="H183" s="17"/>
      <c r="I183" s="152"/>
      <c r="J183" s="17"/>
      <c r="K183" s="320"/>
      <c r="L183" s="355"/>
      <c r="M183" s="152"/>
      <c r="N183" s="16"/>
      <c r="O183" s="312"/>
    </row>
    <row r="184" spans="2:15" ht="38.25" x14ac:dyDescent="0.25">
      <c r="B184" s="310" t="s">
        <v>332</v>
      </c>
      <c r="C184" s="311">
        <v>14</v>
      </c>
      <c r="D184" s="313" t="str">
        <f>VLOOKUP(C184,'Axe 5'!$D$6:$G$24,4,FALSE)</f>
        <v xml:space="preserve">Si cela est nécessaire et relève d'une demande des acteurs du territoire, la collectivité rend accessibles les données collectées et cartographies réalisées, dans le cadre de sa politique EC. </v>
      </c>
      <c r="E184" s="313" t="s">
        <v>73</v>
      </c>
      <c r="F184" s="363">
        <f>INDEX('Note finale'!$B$5:$AA$26,MATCH(B184,'Note finale'!$B$5:$B$26,0),MATCH(E184,'Note finale'!$B$4:$AA$4,0))</f>
        <v>1.107011070110701E-2</v>
      </c>
      <c r="G184" s="313"/>
      <c r="H184" s="17"/>
      <c r="I184" s="152"/>
      <c r="J184" s="17"/>
      <c r="K184" s="320"/>
      <c r="L184" s="355"/>
      <c r="M184" s="152"/>
      <c r="N184" s="16"/>
      <c r="O184" s="312"/>
    </row>
    <row r="185" spans="2:15" ht="38.25" x14ac:dyDescent="0.25">
      <c r="B185" s="310" t="s">
        <v>332</v>
      </c>
      <c r="C185" s="311">
        <v>15</v>
      </c>
      <c r="D185" s="313" t="str">
        <f>VLOOKUP(C185,'Axe 5'!$D$6:$G$24,4,FALSE)</f>
        <v>La collectivité sensibilise les entreprises de son territoire et  leur présente son projet de politique EC, suivant les différentes filières à enjeu et selon tous les piliers de l'EC.</v>
      </c>
      <c r="E185" s="313" t="s">
        <v>73</v>
      </c>
      <c r="F185" s="363">
        <f>INDEX('Note finale'!$B$5:$AA$26,MATCH(B185,'Note finale'!$B$5:$B$26,0),MATCH(E185,'Note finale'!$B$4:$AA$4,0))</f>
        <v>1.107011070110701E-2</v>
      </c>
      <c r="G185" s="313"/>
      <c r="H185" s="17" t="s">
        <v>882</v>
      </c>
      <c r="I185" s="152" t="s">
        <v>40</v>
      </c>
      <c r="J185" s="103" t="s">
        <v>881</v>
      </c>
      <c r="K185" s="320"/>
      <c r="L185" s="355"/>
      <c r="M185" s="152"/>
      <c r="N185" s="16"/>
      <c r="O185" s="312"/>
    </row>
    <row r="186" spans="2:15" ht="38.25" x14ac:dyDescent="0.25">
      <c r="B186" s="310" t="s">
        <v>332</v>
      </c>
      <c r="C186" s="311">
        <v>16</v>
      </c>
      <c r="D186" s="313" t="str">
        <f>VLOOKUP(C186,'Axe 5'!$D$6:$G$24,4,FALSE)</f>
        <v>La collectivité communique autour des acteurs de l'ESS et de ses activités sur le territoire. Elle les identifie clairement comme des acteurs du réemploi et plus largement de l'économie circulaire.</v>
      </c>
      <c r="E186" s="313" t="s">
        <v>73</v>
      </c>
      <c r="F186" s="363">
        <f>INDEX('Note finale'!$B$5:$AA$26,MATCH(B186,'Note finale'!$B$5:$B$26,0),MATCH(E186,'Note finale'!$B$4:$AA$4,0))</f>
        <v>1.107011070110701E-2</v>
      </c>
      <c r="G186" s="313"/>
      <c r="H186" s="17"/>
      <c r="I186" s="152"/>
      <c r="J186" s="17"/>
      <c r="K186" s="320"/>
      <c r="L186" s="355"/>
      <c r="M186" s="152"/>
      <c r="N186" s="16"/>
      <c r="O186" s="312"/>
    </row>
    <row r="187" spans="2:15" ht="38.25" x14ac:dyDescent="0.25">
      <c r="B187" s="314" t="s">
        <v>332</v>
      </c>
      <c r="C187" s="315">
        <v>17</v>
      </c>
      <c r="D187" s="316" t="str">
        <f>VLOOKUP(C187,'Axe 5'!$D$6:$G$24,4,FALSE)</f>
        <v>Des entreprises du territoire utilisent les données fournies par la CL pour développer des actions d'Economie Circulaire qui contribuent à la politique de la collectivité</v>
      </c>
      <c r="E187" s="316" t="s">
        <v>75</v>
      </c>
      <c r="F187" s="364">
        <f>INDEX('Note finale'!$B$5:$AA$26,MATCH(B187,'Note finale'!$B$5:$B$26,0),MATCH(E187,'Note finale'!$B$4:$AA$4,0))</f>
        <v>5.5350553505535052E-3</v>
      </c>
      <c r="G187" s="316"/>
      <c r="H187" s="358" t="s">
        <v>833</v>
      </c>
      <c r="I187" s="153" t="s">
        <v>408</v>
      </c>
      <c r="J187" s="317" t="s">
        <v>834</v>
      </c>
      <c r="K187" s="321"/>
      <c r="L187" s="356" t="s">
        <v>835</v>
      </c>
      <c r="M187" s="153" t="s">
        <v>40</v>
      </c>
      <c r="N187" s="348" t="s">
        <v>883</v>
      </c>
      <c r="O187" s="318"/>
    </row>
    <row r="188" spans="2:15" x14ac:dyDescent="0.25">
      <c r="F188" s="367"/>
      <c r="L188" s="353"/>
      <c r="N188" s="353"/>
    </row>
    <row r="189" spans="2:15" x14ac:dyDescent="0.25">
      <c r="F189" s="367"/>
      <c r="L189" s="353"/>
      <c r="N189" s="353"/>
    </row>
    <row r="190" spans="2:15" x14ac:dyDescent="0.25">
      <c r="F190" s="367"/>
      <c r="L190" s="353"/>
      <c r="N190" s="353"/>
    </row>
    <row r="191" spans="2:15" x14ac:dyDescent="0.25">
      <c r="F191" s="367"/>
      <c r="L191" s="353"/>
      <c r="N191" s="353"/>
    </row>
    <row r="192" spans="2:15" x14ac:dyDescent="0.25">
      <c r="F192" s="367"/>
      <c r="L192" s="353"/>
      <c r="N192" s="353"/>
    </row>
    <row r="193" spans="6:14" x14ac:dyDescent="0.25">
      <c r="F193" s="367"/>
      <c r="L193" s="353"/>
      <c r="N193" s="353"/>
    </row>
    <row r="194" spans="6:14" x14ac:dyDescent="0.25">
      <c r="F194" s="367"/>
      <c r="L194" s="353"/>
      <c r="N194" s="353"/>
    </row>
    <row r="195" spans="6:14" x14ac:dyDescent="0.25">
      <c r="F195" s="367"/>
      <c r="L195" s="353"/>
      <c r="N195" s="353"/>
    </row>
    <row r="196" spans="6:14" x14ac:dyDescent="0.25">
      <c r="F196" s="367"/>
      <c r="L196" s="353"/>
      <c r="N196" s="353"/>
    </row>
    <row r="197" spans="6:14" x14ac:dyDescent="0.25">
      <c r="F197" s="367"/>
      <c r="L197" s="353"/>
      <c r="N197" s="353"/>
    </row>
    <row r="198" spans="6:14" x14ac:dyDescent="0.25">
      <c r="F198" s="367"/>
      <c r="L198" s="353"/>
      <c r="N198" s="353"/>
    </row>
    <row r="199" spans="6:14" x14ac:dyDescent="0.25">
      <c r="F199" s="367"/>
      <c r="L199" s="353"/>
      <c r="N199" s="353"/>
    </row>
    <row r="200" spans="6:14" x14ac:dyDescent="0.25">
      <c r="F200" s="367"/>
      <c r="L200" s="353"/>
      <c r="N200" s="353"/>
    </row>
    <row r="201" spans="6:14" x14ac:dyDescent="0.25">
      <c r="F201" s="367"/>
      <c r="L201" s="353"/>
      <c r="N201" s="353"/>
    </row>
    <row r="202" spans="6:14" x14ac:dyDescent="0.25">
      <c r="F202" s="367"/>
      <c r="L202" s="353"/>
      <c r="N202" s="353"/>
    </row>
    <row r="203" spans="6:14" x14ac:dyDescent="0.25">
      <c r="F203" s="367"/>
      <c r="L203" s="353"/>
      <c r="N203" s="353"/>
    </row>
    <row r="204" spans="6:14" x14ac:dyDescent="0.25">
      <c r="F204" s="367"/>
      <c r="L204" s="353"/>
      <c r="N204" s="353"/>
    </row>
    <row r="205" spans="6:14" x14ac:dyDescent="0.25">
      <c r="F205" s="367"/>
      <c r="L205" s="353"/>
      <c r="N205" s="353"/>
    </row>
    <row r="206" spans="6:14" x14ac:dyDescent="0.25">
      <c r="F206" s="367"/>
      <c r="L206" s="353"/>
      <c r="N206" s="353"/>
    </row>
    <row r="207" spans="6:14" x14ac:dyDescent="0.25">
      <c r="F207" s="367"/>
      <c r="L207" s="353"/>
      <c r="N207" s="353"/>
    </row>
    <row r="208" spans="6:14" x14ac:dyDescent="0.25">
      <c r="F208" s="367"/>
      <c r="L208" s="353"/>
      <c r="N208" s="353"/>
    </row>
    <row r="209" spans="6:14" x14ac:dyDescent="0.25">
      <c r="F209" s="367"/>
      <c r="L209" s="353"/>
      <c r="N209" s="353"/>
    </row>
    <row r="210" spans="6:14" x14ac:dyDescent="0.25">
      <c r="F210" s="367"/>
      <c r="L210" s="353"/>
      <c r="N210" s="353"/>
    </row>
    <row r="211" spans="6:14" x14ac:dyDescent="0.25">
      <c r="F211" s="367"/>
      <c r="L211" s="353"/>
      <c r="N211" s="353"/>
    </row>
    <row r="212" spans="6:14" x14ac:dyDescent="0.25">
      <c r="F212" s="367"/>
      <c r="L212" s="353"/>
      <c r="N212" s="353"/>
    </row>
    <row r="213" spans="6:14" x14ac:dyDescent="0.25">
      <c r="F213" s="367"/>
      <c r="L213" s="353"/>
      <c r="N213" s="353"/>
    </row>
    <row r="214" spans="6:14" x14ac:dyDescent="0.25">
      <c r="F214" s="367"/>
      <c r="L214" s="353"/>
      <c r="N214" s="353"/>
    </row>
    <row r="215" spans="6:14" x14ac:dyDescent="0.25">
      <c r="F215" s="367"/>
      <c r="L215" s="353"/>
      <c r="N215" s="353"/>
    </row>
    <row r="216" spans="6:14" x14ac:dyDescent="0.25">
      <c r="F216" s="367"/>
      <c r="L216" s="353"/>
      <c r="N216" s="353"/>
    </row>
    <row r="217" spans="6:14" x14ac:dyDescent="0.25">
      <c r="F217" s="367"/>
      <c r="L217" s="353"/>
      <c r="N217" s="353"/>
    </row>
    <row r="218" spans="6:14" x14ac:dyDescent="0.25">
      <c r="F218" s="367"/>
      <c r="L218" s="353"/>
      <c r="N218" s="353"/>
    </row>
    <row r="219" spans="6:14" x14ac:dyDescent="0.25">
      <c r="F219" s="367"/>
      <c r="L219" s="353"/>
      <c r="N219" s="353"/>
    </row>
    <row r="220" spans="6:14" x14ac:dyDescent="0.25">
      <c r="F220" s="367"/>
      <c r="L220" s="353"/>
      <c r="N220" s="353"/>
    </row>
    <row r="221" spans="6:14" x14ac:dyDescent="0.25">
      <c r="F221" s="367"/>
      <c r="L221" s="353"/>
      <c r="N221" s="353"/>
    </row>
    <row r="222" spans="6:14" x14ac:dyDescent="0.25">
      <c r="F222" s="367"/>
      <c r="L222" s="353"/>
      <c r="N222" s="353"/>
    </row>
    <row r="223" spans="6:14" x14ac:dyDescent="0.25">
      <c r="F223" s="367"/>
      <c r="L223" s="353"/>
      <c r="N223" s="353"/>
    </row>
    <row r="224" spans="6:14" x14ac:dyDescent="0.25">
      <c r="F224" s="367"/>
      <c r="L224" s="353"/>
      <c r="N224" s="353"/>
    </row>
    <row r="225" spans="6:14" x14ac:dyDescent="0.25">
      <c r="F225" s="367"/>
      <c r="L225" s="353"/>
      <c r="N225" s="353"/>
    </row>
    <row r="226" spans="6:14" x14ac:dyDescent="0.25">
      <c r="F226" s="367"/>
      <c r="L226" s="353"/>
      <c r="N226" s="353"/>
    </row>
    <row r="227" spans="6:14" x14ac:dyDescent="0.25">
      <c r="F227" s="367"/>
      <c r="L227" s="353"/>
      <c r="N227" s="353"/>
    </row>
    <row r="228" spans="6:14" x14ac:dyDescent="0.25">
      <c r="F228" s="367"/>
      <c r="L228" s="353"/>
      <c r="N228" s="353"/>
    </row>
    <row r="229" spans="6:14" x14ac:dyDescent="0.25">
      <c r="F229" s="367"/>
      <c r="L229" s="353"/>
      <c r="N229" s="353"/>
    </row>
    <row r="230" spans="6:14" x14ac:dyDescent="0.25">
      <c r="F230" s="367"/>
      <c r="L230" s="353"/>
      <c r="N230" s="353"/>
    </row>
    <row r="231" spans="6:14" x14ac:dyDescent="0.25">
      <c r="F231" s="367"/>
      <c r="L231" s="353"/>
      <c r="N231" s="353"/>
    </row>
    <row r="232" spans="6:14" x14ac:dyDescent="0.25">
      <c r="F232" s="367"/>
      <c r="L232" s="353"/>
      <c r="N232" s="353"/>
    </row>
    <row r="233" spans="6:14" x14ac:dyDescent="0.25">
      <c r="F233" s="367"/>
      <c r="L233" s="353"/>
      <c r="N233" s="353"/>
    </row>
    <row r="234" spans="6:14" x14ac:dyDescent="0.25">
      <c r="F234" s="367"/>
      <c r="L234" s="353"/>
      <c r="N234" s="353"/>
    </row>
    <row r="235" spans="6:14" x14ac:dyDescent="0.25">
      <c r="F235" s="367"/>
      <c r="L235" s="353"/>
      <c r="N235" s="353"/>
    </row>
    <row r="236" spans="6:14" x14ac:dyDescent="0.25">
      <c r="F236" s="367"/>
      <c r="L236" s="353"/>
      <c r="N236" s="353"/>
    </row>
    <row r="237" spans="6:14" x14ac:dyDescent="0.25">
      <c r="F237" s="367"/>
      <c r="L237" s="353"/>
      <c r="N237" s="353"/>
    </row>
    <row r="238" spans="6:14" x14ac:dyDescent="0.25">
      <c r="F238" s="367"/>
      <c r="L238" s="353"/>
      <c r="N238" s="353"/>
    </row>
    <row r="239" spans="6:14" x14ac:dyDescent="0.25">
      <c r="F239" s="367"/>
      <c r="L239" s="353"/>
      <c r="N239" s="353"/>
    </row>
    <row r="240" spans="6:14" x14ac:dyDescent="0.25">
      <c r="F240" s="367"/>
      <c r="L240" s="353"/>
      <c r="N240" s="353"/>
    </row>
    <row r="241" spans="6:14" x14ac:dyDescent="0.25">
      <c r="F241" s="367"/>
      <c r="L241" s="353"/>
      <c r="N241" s="353"/>
    </row>
    <row r="242" spans="6:14" x14ac:dyDescent="0.25">
      <c r="F242" s="367"/>
      <c r="L242" s="353"/>
      <c r="N242" s="353"/>
    </row>
    <row r="243" spans="6:14" x14ac:dyDescent="0.25">
      <c r="F243" s="367"/>
      <c r="L243" s="353"/>
      <c r="N243" s="353"/>
    </row>
    <row r="244" spans="6:14" x14ac:dyDescent="0.25">
      <c r="F244" s="367"/>
      <c r="L244" s="353"/>
      <c r="N244" s="353"/>
    </row>
    <row r="245" spans="6:14" x14ac:dyDescent="0.25">
      <c r="L245" s="353"/>
      <c r="N245" s="353"/>
    </row>
    <row r="246" spans="6:14" x14ac:dyDescent="0.25">
      <c r="L246" s="353"/>
      <c r="N246" s="353"/>
    </row>
    <row r="247" spans="6:14" x14ac:dyDescent="0.25">
      <c r="L247" s="353"/>
      <c r="N247" s="353"/>
    </row>
    <row r="248" spans="6:14" x14ac:dyDescent="0.25">
      <c r="L248" s="353"/>
      <c r="N248" s="353"/>
    </row>
    <row r="249" spans="6:14" x14ac:dyDescent="0.25">
      <c r="L249" s="353"/>
      <c r="N249" s="353"/>
    </row>
    <row r="250" spans="6:14" x14ac:dyDescent="0.25">
      <c r="L250" s="353"/>
      <c r="N250" s="353"/>
    </row>
    <row r="251" spans="6:14" x14ac:dyDescent="0.25">
      <c r="L251" s="353"/>
      <c r="N251" s="353"/>
    </row>
    <row r="252" spans="6:14" x14ac:dyDescent="0.25">
      <c r="L252" s="353"/>
      <c r="N252" s="353"/>
    </row>
    <row r="253" spans="6:14" x14ac:dyDescent="0.25">
      <c r="L253" s="353"/>
      <c r="N253" s="353"/>
    </row>
    <row r="254" spans="6:14" x14ac:dyDescent="0.25">
      <c r="L254" s="353"/>
      <c r="N254" s="353"/>
    </row>
    <row r="255" spans="6:14" x14ac:dyDescent="0.25">
      <c r="L255" s="353"/>
      <c r="N255" s="353"/>
    </row>
    <row r="256" spans="6:14" x14ac:dyDescent="0.25">
      <c r="L256" s="353"/>
      <c r="N256" s="353"/>
    </row>
    <row r="257" spans="12:14" x14ac:dyDescent="0.25">
      <c r="L257" s="353"/>
      <c r="N257" s="353"/>
    </row>
    <row r="258" spans="12:14" x14ac:dyDescent="0.25">
      <c r="L258" s="353"/>
      <c r="N258" s="353"/>
    </row>
    <row r="259" spans="12:14" x14ac:dyDescent="0.25">
      <c r="L259" s="353"/>
      <c r="N259" s="353"/>
    </row>
    <row r="260" spans="12:14" x14ac:dyDescent="0.25">
      <c r="L260" s="353"/>
      <c r="N260" s="353"/>
    </row>
    <row r="261" spans="12:14" x14ac:dyDescent="0.25">
      <c r="L261" s="353"/>
      <c r="N261" s="353"/>
    </row>
    <row r="262" spans="12:14" x14ac:dyDescent="0.25">
      <c r="L262" s="353"/>
      <c r="N262" s="353"/>
    </row>
    <row r="263" spans="12:14" x14ac:dyDescent="0.25">
      <c r="L263" s="353"/>
      <c r="N263" s="353"/>
    </row>
    <row r="264" spans="12:14" x14ac:dyDescent="0.25">
      <c r="L264" s="353"/>
      <c r="N264" s="353"/>
    </row>
    <row r="265" spans="12:14" x14ac:dyDescent="0.25">
      <c r="L265" s="353"/>
      <c r="N265" s="353"/>
    </row>
    <row r="266" spans="12:14" x14ac:dyDescent="0.25">
      <c r="L266" s="353"/>
      <c r="N266" s="353"/>
    </row>
    <row r="267" spans="12:14" x14ac:dyDescent="0.25">
      <c r="L267" s="353"/>
      <c r="N267" s="353"/>
    </row>
    <row r="268" spans="12:14" x14ac:dyDescent="0.25">
      <c r="L268" s="353"/>
      <c r="N268" s="353"/>
    </row>
    <row r="269" spans="12:14" x14ac:dyDescent="0.25">
      <c r="L269" s="353"/>
      <c r="N269" s="353"/>
    </row>
    <row r="270" spans="12:14" x14ac:dyDescent="0.25">
      <c r="L270" s="353"/>
      <c r="N270" s="353"/>
    </row>
    <row r="271" spans="12:14" x14ac:dyDescent="0.25">
      <c r="L271" s="353"/>
      <c r="N271" s="353"/>
    </row>
    <row r="272" spans="12:14" x14ac:dyDescent="0.25">
      <c r="L272" s="353"/>
      <c r="N272" s="353"/>
    </row>
    <row r="273" spans="12:14" x14ac:dyDescent="0.25">
      <c r="L273" s="353"/>
      <c r="N273" s="353"/>
    </row>
    <row r="274" spans="12:14" x14ac:dyDescent="0.25">
      <c r="L274" s="353"/>
      <c r="N274" s="353"/>
    </row>
    <row r="275" spans="12:14" x14ac:dyDescent="0.25">
      <c r="L275" s="353"/>
      <c r="N275" s="353"/>
    </row>
    <row r="276" spans="12:14" x14ac:dyDescent="0.25">
      <c r="L276" s="353"/>
      <c r="N276" s="353"/>
    </row>
    <row r="277" spans="12:14" x14ac:dyDescent="0.25">
      <c r="L277" s="353"/>
      <c r="N277" s="353"/>
    </row>
    <row r="278" spans="12:14" x14ac:dyDescent="0.25">
      <c r="L278" s="353"/>
      <c r="N278" s="353"/>
    </row>
    <row r="279" spans="12:14" x14ac:dyDescent="0.25">
      <c r="L279" s="353"/>
      <c r="N279" s="353"/>
    </row>
    <row r="280" spans="12:14" x14ac:dyDescent="0.25">
      <c r="L280" s="353"/>
      <c r="N280" s="353"/>
    </row>
    <row r="281" spans="12:14" x14ac:dyDescent="0.25">
      <c r="L281" s="353"/>
      <c r="N281" s="353"/>
    </row>
    <row r="282" spans="12:14" x14ac:dyDescent="0.25">
      <c r="L282" s="353"/>
      <c r="N282" s="353"/>
    </row>
    <row r="283" spans="12:14" x14ac:dyDescent="0.25">
      <c r="L283" s="353"/>
      <c r="N283" s="353"/>
    </row>
    <row r="284" spans="12:14" x14ac:dyDescent="0.25">
      <c r="L284" s="353"/>
      <c r="N284" s="353"/>
    </row>
    <row r="285" spans="12:14" x14ac:dyDescent="0.25">
      <c r="L285" s="353"/>
      <c r="N285" s="353"/>
    </row>
    <row r="286" spans="12:14" x14ac:dyDescent="0.25">
      <c r="L286" s="353"/>
      <c r="N286" s="353"/>
    </row>
    <row r="287" spans="12:14" x14ac:dyDescent="0.25">
      <c r="L287" s="353"/>
      <c r="N287" s="353"/>
    </row>
    <row r="288" spans="12:14" x14ac:dyDescent="0.25">
      <c r="L288" s="353"/>
      <c r="N288" s="353"/>
    </row>
    <row r="289" spans="12:14" x14ac:dyDescent="0.25">
      <c r="L289" s="353"/>
      <c r="N289" s="353"/>
    </row>
    <row r="290" spans="12:14" x14ac:dyDescent="0.25">
      <c r="L290" s="353"/>
      <c r="N290" s="353"/>
    </row>
    <row r="291" spans="12:14" x14ac:dyDescent="0.25">
      <c r="L291" s="353"/>
      <c r="N291" s="353"/>
    </row>
    <row r="292" spans="12:14" x14ac:dyDescent="0.25">
      <c r="L292" s="353"/>
      <c r="N292" s="353"/>
    </row>
    <row r="293" spans="12:14" x14ac:dyDescent="0.25">
      <c r="L293" s="353"/>
      <c r="N293" s="353"/>
    </row>
    <row r="294" spans="12:14" x14ac:dyDescent="0.25">
      <c r="N294" s="353"/>
    </row>
    <row r="295" spans="12:14" x14ac:dyDescent="0.25">
      <c r="N295" s="353"/>
    </row>
    <row r="296" spans="12:14" x14ac:dyDescent="0.25">
      <c r="N296" s="353"/>
    </row>
    <row r="297" spans="12:14" x14ac:dyDescent="0.25">
      <c r="N297" s="353"/>
    </row>
    <row r="298" spans="12:14" x14ac:dyDescent="0.25">
      <c r="N298" s="353"/>
    </row>
    <row r="299" spans="12:14" x14ac:dyDescent="0.25">
      <c r="N299" s="353"/>
    </row>
    <row r="300" spans="12:14" x14ac:dyDescent="0.25">
      <c r="N300" s="353"/>
    </row>
    <row r="301" spans="12:14" x14ac:dyDescent="0.25">
      <c r="N301" s="353"/>
    </row>
    <row r="302" spans="12:14" x14ac:dyDescent="0.25">
      <c r="N302" s="353"/>
    </row>
    <row r="303" spans="12:14" x14ac:dyDescent="0.25">
      <c r="N303" s="353"/>
    </row>
    <row r="304" spans="12:14" x14ac:dyDescent="0.25">
      <c r="N304" s="353"/>
    </row>
    <row r="305" spans="14:14" x14ac:dyDescent="0.25">
      <c r="N305" s="353"/>
    </row>
    <row r="306" spans="14:14" x14ac:dyDescent="0.25">
      <c r="N306" s="353"/>
    </row>
    <row r="307" spans="14:14" x14ac:dyDescent="0.25">
      <c r="N307" s="353"/>
    </row>
    <row r="308" spans="14:14" x14ac:dyDescent="0.25">
      <c r="N308" s="353"/>
    </row>
    <row r="309" spans="14:14" x14ac:dyDescent="0.25">
      <c r="N309" s="353"/>
    </row>
    <row r="310" spans="14:14" x14ac:dyDescent="0.25">
      <c r="N310" s="353"/>
    </row>
    <row r="311" spans="14:14" x14ac:dyDescent="0.25">
      <c r="N311" s="353"/>
    </row>
    <row r="312" spans="14:14" x14ac:dyDescent="0.25">
      <c r="N312" s="353"/>
    </row>
    <row r="313" spans="14:14" x14ac:dyDescent="0.25">
      <c r="N313" s="353"/>
    </row>
    <row r="314" spans="14:14" x14ac:dyDescent="0.25">
      <c r="N314" s="353"/>
    </row>
    <row r="315" spans="14:14" x14ac:dyDescent="0.25">
      <c r="N315" s="353"/>
    </row>
    <row r="316" spans="14:14" x14ac:dyDescent="0.25">
      <c r="N316" s="353"/>
    </row>
    <row r="317" spans="14:14" x14ac:dyDescent="0.25">
      <c r="N317" s="353"/>
    </row>
    <row r="318" spans="14:14" x14ac:dyDescent="0.25"/>
    <row r="319" spans="14:14" x14ac:dyDescent="0.25"/>
    <row r="320" spans="14:14"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sheetData>
  <sheetProtection algorithmName="SHA-512" hashValue="2TutwQubdXPas+fKlbXelqAcSJYhuzS05nPwi03iv6jLQVIhjjEUA2xD5pvnd9UBA/IPRJ5VeTWjLo4PhbNzzQ==" saltValue="Ola+wq9pOgb+HTQTP/rCUA==" spinCount="100000" sheet="1" selectLockedCells="1" selectUnlockedCells="1"/>
  <mergeCells count="2">
    <mergeCell ref="H2:K2"/>
    <mergeCell ref="L2:O2"/>
  </mergeCells>
  <conditionalFormatting sqref="F13:F25 F27:F104 F106:F150 F152:F169 F171:F187">
    <cfRule type="cellIs" dxfId="6" priority="5" operator="lessThan">
      <formula>0.002</formula>
    </cfRule>
    <cfRule type="cellIs" dxfId="5" priority="6" operator="greaterThan">
      <formula>0.01</formula>
    </cfRule>
  </conditionalFormatting>
  <dataValidations count="1">
    <dataValidation type="list" allowBlank="1" showInputMessage="1" showErrorMessage="1" sqref="E5:E187">
      <formula1>"Base, Mise en œuvre, Effet"</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AE51"/>
  <sheetViews>
    <sheetView showGridLines="0" topLeftCell="C1" zoomScale="78" workbookViewId="0">
      <selection activeCell="C18" sqref="C18"/>
    </sheetView>
  </sheetViews>
  <sheetFormatPr baseColWidth="10" defaultColWidth="11.42578125" defaultRowHeight="15" x14ac:dyDescent="0.25"/>
  <cols>
    <col min="1" max="1" width="4.42578125" style="48" bestFit="1" customWidth="1"/>
    <col min="2" max="2" width="13.42578125" customWidth="1"/>
    <col min="3" max="3" width="142.7109375" customWidth="1"/>
    <col min="4" max="4" width="15.5703125" customWidth="1"/>
    <col min="5" max="5" width="15" customWidth="1"/>
    <col min="6" max="6" width="9.42578125" bestFit="1" customWidth="1"/>
    <col min="7" max="7" width="1.7109375" customWidth="1"/>
    <col min="8" max="8" width="15" customWidth="1"/>
    <col min="9" max="9" width="9.42578125" customWidth="1"/>
    <col min="10" max="10" width="1.7109375" customWidth="1"/>
    <col min="11" max="11" width="15" customWidth="1"/>
    <col min="12" max="12" width="9.42578125" customWidth="1"/>
    <col min="13" max="13" width="15" customWidth="1"/>
    <col min="14" max="14" width="16.28515625" hidden="1" customWidth="1"/>
    <col min="15" max="15" width="9.85546875" style="404" hidden="1" customWidth="1"/>
    <col min="16" max="16" width="16.28515625" hidden="1" customWidth="1"/>
    <col min="17" max="18" width="15.5703125" hidden="1" customWidth="1"/>
    <col min="19" max="21" width="17.42578125" hidden="1" customWidth="1"/>
    <col min="22" max="23" width="13.28515625" hidden="1" customWidth="1"/>
    <col min="24" max="24" width="14.5703125" hidden="1" customWidth="1"/>
    <col min="25" max="27" width="13" hidden="1" customWidth="1"/>
    <col min="28" max="31" width="11.42578125" hidden="1" customWidth="1"/>
    <col min="32" max="32" width="11.42578125" customWidth="1"/>
  </cols>
  <sheetData>
    <row r="2" spans="1:31" x14ac:dyDescent="0.25">
      <c r="E2" s="996" t="s">
        <v>935</v>
      </c>
      <c r="F2" s="996"/>
      <c r="G2" s="715"/>
      <c r="H2" s="996" t="s">
        <v>936</v>
      </c>
      <c r="I2" s="996"/>
      <c r="J2" s="715"/>
      <c r="K2" s="996" t="s">
        <v>937</v>
      </c>
      <c r="L2" s="996"/>
      <c r="P2" s="992" t="s">
        <v>941</v>
      </c>
      <c r="Q2" s="992"/>
      <c r="R2" s="992"/>
      <c r="S2" s="992"/>
      <c r="T2" s="992"/>
      <c r="U2" s="992"/>
      <c r="V2" s="1002" t="s">
        <v>942</v>
      </c>
      <c r="W2" s="1002"/>
      <c r="X2" s="1002"/>
      <c r="Y2" s="992" t="s">
        <v>943</v>
      </c>
      <c r="Z2" s="992"/>
      <c r="AA2" s="992"/>
    </row>
    <row r="3" spans="1:31" ht="15.75" thickBot="1" x14ac:dyDescent="0.3">
      <c r="Y3" s="751"/>
      <c r="Z3" s="751"/>
      <c r="AA3" s="751"/>
    </row>
    <row r="4" spans="1:31" s="71" customFormat="1" ht="45.75" customHeight="1" thickBot="1" x14ac:dyDescent="0.3">
      <c r="A4" s="172" t="s">
        <v>339</v>
      </c>
      <c r="B4" s="168" t="s">
        <v>59</v>
      </c>
      <c r="C4" s="110" t="s">
        <v>340</v>
      </c>
      <c r="D4" s="736" t="s">
        <v>341</v>
      </c>
      <c r="E4" s="746" t="s">
        <v>934</v>
      </c>
      <c r="F4" s="735" t="s">
        <v>898</v>
      </c>
      <c r="G4" s="713"/>
      <c r="H4" s="746" t="s">
        <v>934</v>
      </c>
      <c r="I4" s="735" t="s">
        <v>898</v>
      </c>
      <c r="J4" s="713"/>
      <c r="K4" s="746" t="s">
        <v>934</v>
      </c>
      <c r="L4" s="735" t="s">
        <v>898</v>
      </c>
      <c r="N4" s="172" t="s">
        <v>342</v>
      </c>
      <c r="O4" s="758"/>
      <c r="P4" s="733" t="s">
        <v>662</v>
      </c>
      <c r="Q4" s="110" t="s">
        <v>668</v>
      </c>
      <c r="R4" s="734" t="s">
        <v>663</v>
      </c>
      <c r="S4" s="110" t="s">
        <v>669</v>
      </c>
      <c r="T4" s="734" t="s">
        <v>664</v>
      </c>
      <c r="U4" s="736" t="s">
        <v>670</v>
      </c>
      <c r="V4" s="746" t="s">
        <v>665</v>
      </c>
      <c r="W4" s="110" t="s">
        <v>667</v>
      </c>
      <c r="X4" s="736" t="s">
        <v>666</v>
      </c>
      <c r="Y4" s="746" t="s">
        <v>67</v>
      </c>
      <c r="Z4" s="110" t="s">
        <v>73</v>
      </c>
      <c r="AA4" s="735" t="s">
        <v>75</v>
      </c>
    </row>
    <row r="5" spans="1:31" ht="15.75" thickBot="1" x14ac:dyDescent="0.3">
      <c r="A5" s="997">
        <v>1</v>
      </c>
      <c r="B5" s="169" t="s">
        <v>64</v>
      </c>
      <c r="C5" s="285" t="str">
        <f>VLOOKUP(B5,'Axe 1'!$A$6:$B$30,2,FALSE)</f>
        <v>Définir une stratégie globale de la politique économie circulaire, inscrire le projet dans le territoire et assurer un portage politique fort</v>
      </c>
      <c r="D5" s="765" t="s">
        <v>343</v>
      </c>
      <c r="E5" s="760">
        <f>SUM('Axe 1'!N6:N15)/SUM('Axe 1'!$L$6:$L$15)</f>
        <v>0</v>
      </c>
      <c r="F5" s="993">
        <f>AVERAGE(E5:E8)</f>
        <v>0</v>
      </c>
      <c r="G5" s="714"/>
      <c r="H5" s="760">
        <f>SUM('Axe 1'!S6:S15)/SUM('Axe 1'!$L$6:$L$15)</f>
        <v>0</v>
      </c>
      <c r="I5" s="993">
        <f>AVERAGE(H5:H8)</f>
        <v>0</v>
      </c>
      <c r="J5" s="714"/>
      <c r="K5" s="760">
        <f>SUM('Axe 1'!X6:X15)/SUM('Axe 1'!$L$6:$L$15)</f>
        <v>0</v>
      </c>
      <c r="L5" s="993">
        <f>AVERAGE(K5:K8)</f>
        <v>0</v>
      </c>
      <c r="N5" s="520">
        <f>VLOOKUP(D5,$AD$6:$AE$8,2,FALSE)</f>
        <v>1.2</v>
      </c>
      <c r="O5" s="759">
        <f t="shared" ref="O5:O26" si="0">N5*100</f>
        <v>120</v>
      </c>
      <c r="P5" s="729">
        <f>'Axe 1'!K6</f>
        <v>10</v>
      </c>
      <c r="Q5" s="730">
        <v>4</v>
      </c>
      <c r="R5" s="731">
        <f>'Axe 1'!K10</f>
        <v>60</v>
      </c>
      <c r="S5" s="730">
        <v>3</v>
      </c>
      <c r="T5" s="732">
        <f>'Axe 1'!K13</f>
        <v>30</v>
      </c>
      <c r="U5" s="737">
        <v>3</v>
      </c>
      <c r="V5" s="744">
        <f>IF(Q5=0,0,$O5*P5/100/Q5)</f>
        <v>3</v>
      </c>
      <c r="W5" s="745">
        <f>IF(S5=0,0,$O5*R5/100/S5)</f>
        <v>24</v>
      </c>
      <c r="X5" s="747">
        <f>IF(U5=0,0,$O5*T5/100/U5)</f>
        <v>12</v>
      </c>
      <c r="Y5" s="770">
        <f>V5/SUM($V$28:$X$28)</f>
        <v>1.3837638376383763E-3</v>
      </c>
      <c r="Z5" s="771">
        <f>W5/SUM($V$28:$X$28)</f>
        <v>1.107011070110701E-2</v>
      </c>
      <c r="AA5" s="772">
        <f>X5/SUM($V$28:$X$28)</f>
        <v>5.5350553505535052E-3</v>
      </c>
    </row>
    <row r="6" spans="1:31" x14ac:dyDescent="0.25">
      <c r="A6" s="998"/>
      <c r="B6" s="170" t="s">
        <v>80</v>
      </c>
      <c r="C6" s="286" t="str">
        <f>VLOOKUP(B6,'Axe 1'!$A$6:$B$30,2,FALSE)</f>
        <v>Développer une démarche transversale avec l'ensemble des politiques de la collectivité</v>
      </c>
      <c r="D6" s="766" t="s">
        <v>343</v>
      </c>
      <c r="E6" s="761">
        <f>SUM('Axe 1'!N17:N19)/SUM('Axe 1'!$L$17:$L$19)</f>
        <v>0</v>
      </c>
      <c r="F6" s="994"/>
      <c r="G6" s="714"/>
      <c r="H6" s="761">
        <f>SUM('Axe 1'!S17:S19)/SUM('Axe 1'!$L$17:$L$19)</f>
        <v>0</v>
      </c>
      <c r="I6" s="994"/>
      <c r="J6" s="714"/>
      <c r="K6" s="761">
        <f>SUM('Axe 1'!X17:X19)/SUM('Axe 1'!$L$17:$L$19)</f>
        <v>0</v>
      </c>
      <c r="L6" s="994"/>
      <c r="N6" s="521">
        <f>VLOOKUP(D6,$AD$6:$AE$8,2,FALSE)</f>
        <v>1.2</v>
      </c>
      <c r="O6" s="759">
        <f t="shared" si="0"/>
        <v>120</v>
      </c>
      <c r="P6" s="725">
        <f>'Axe 1'!K17</f>
        <v>10</v>
      </c>
      <c r="Q6" s="722">
        <v>1</v>
      </c>
      <c r="R6" s="723">
        <f>'Axe 1'!K18</f>
        <v>60</v>
      </c>
      <c r="S6" s="722">
        <f>IF(Préambule!E43="Oui",0,1)</f>
        <v>0</v>
      </c>
      <c r="T6" s="723">
        <f>'Axe 1'!K19</f>
        <v>30</v>
      </c>
      <c r="U6" s="738">
        <v>1</v>
      </c>
      <c r="V6" s="741">
        <f t="shared" ref="V6:V26" si="1">IF(Q6=0,0,$O6*P6/100/Q6)</f>
        <v>12</v>
      </c>
      <c r="W6" s="740">
        <f t="shared" ref="W6:W26" si="2">IF(S6=0,0,$O6*R6/100/S6)</f>
        <v>0</v>
      </c>
      <c r="X6" s="748">
        <f t="shared" ref="X6:X26" si="3">IF(U6=0,0,$O6*T6/100/U6)</f>
        <v>36</v>
      </c>
      <c r="Y6" s="752">
        <f t="shared" ref="Y6:Y26" si="4">V6/SUM($V$28:$X$28)</f>
        <v>5.5350553505535052E-3</v>
      </c>
      <c r="Z6" s="750">
        <f t="shared" ref="Z6:AA20" si="5">W6/SUM($V$28:$X$28)</f>
        <v>0</v>
      </c>
      <c r="AA6" s="753">
        <f t="shared" si="5"/>
        <v>1.6605166051660517E-2</v>
      </c>
      <c r="AD6" s="104" t="s">
        <v>343</v>
      </c>
      <c r="AE6" s="105">
        <v>1.2</v>
      </c>
    </row>
    <row r="7" spans="1:31" x14ac:dyDescent="0.25">
      <c r="A7" s="999"/>
      <c r="B7" s="174" t="s">
        <v>86</v>
      </c>
      <c r="C7" s="287" t="str">
        <f>VLOOKUP(B7,'Axe 1'!$A$6:$B$30,2,FALSE)</f>
        <v>Suivre, évaluer et améliorer le déploiement de la stratégie de la politique économie circulaire</v>
      </c>
      <c r="D7" s="767" t="s">
        <v>343</v>
      </c>
      <c r="E7" s="762">
        <f>SUM('Axe 1'!N21:N24)/SUM('Axe 1'!$L$21:$L$24)</f>
        <v>0</v>
      </c>
      <c r="F7" s="994"/>
      <c r="G7" s="714"/>
      <c r="H7" s="762">
        <f>SUM('Axe 1'!S21:S24)/SUM('Axe 1'!$L$21:$L$24)</f>
        <v>0</v>
      </c>
      <c r="I7" s="994"/>
      <c r="J7" s="714"/>
      <c r="K7" s="762">
        <f>SUM('Axe 1'!X21:X24)/SUM('Axe 1'!$L$21:$L$24)</f>
        <v>0</v>
      </c>
      <c r="L7" s="994"/>
      <c r="N7" s="522">
        <v>1.2</v>
      </c>
      <c r="O7" s="759">
        <f t="shared" si="0"/>
        <v>120</v>
      </c>
      <c r="P7" s="725">
        <f>'Axe 1'!K21</f>
        <v>30</v>
      </c>
      <c r="Q7" s="722">
        <v>1</v>
      </c>
      <c r="R7" s="723">
        <f>'Axe 1'!K22</f>
        <v>50</v>
      </c>
      <c r="S7" s="722">
        <v>2</v>
      </c>
      <c r="T7" s="723">
        <f>'Axe 1'!K24</f>
        <v>20</v>
      </c>
      <c r="U7" s="738">
        <v>1</v>
      </c>
      <c r="V7" s="741">
        <f t="shared" si="1"/>
        <v>36</v>
      </c>
      <c r="W7" s="740">
        <f t="shared" si="2"/>
        <v>30</v>
      </c>
      <c r="X7" s="748">
        <f t="shared" si="3"/>
        <v>24</v>
      </c>
      <c r="Y7" s="752">
        <f t="shared" si="4"/>
        <v>1.6605166051660517E-2</v>
      </c>
      <c r="Z7" s="750">
        <f t="shared" si="5"/>
        <v>1.3837638376383764E-2</v>
      </c>
      <c r="AA7" s="753">
        <f t="shared" si="5"/>
        <v>1.107011070110701E-2</v>
      </c>
      <c r="AD7" s="106" t="s">
        <v>344</v>
      </c>
      <c r="AE7" s="107">
        <v>1</v>
      </c>
    </row>
    <row r="8" spans="1:31" ht="15.75" thickBot="1" x14ac:dyDescent="0.3">
      <c r="A8" s="1000"/>
      <c r="B8" s="171" t="s">
        <v>385</v>
      </c>
      <c r="C8" s="288" t="str">
        <f>VLOOKUP(B8,'Axe 1'!$A$6:$B$30,2,FALSE)</f>
        <v>Mettre en place une démarche de gouvernance globale sur l'ensemble du territoire</v>
      </c>
      <c r="D8" s="768" t="s">
        <v>343</v>
      </c>
      <c r="E8" s="763">
        <f>SUM('Axe 1'!N26:N29)/SUM('Axe 1'!$L$26:$L$29)</f>
        <v>0</v>
      </c>
      <c r="F8" s="995"/>
      <c r="G8" s="714"/>
      <c r="H8" s="763">
        <f>SUM('Axe 1'!S26:S29)/SUM('Axe 1'!$L$26:$L$29)</f>
        <v>0</v>
      </c>
      <c r="I8" s="995"/>
      <c r="J8" s="714"/>
      <c r="K8" s="763">
        <f>SUM('Axe 1'!X26:X29)/SUM('Axe 1'!$L$26:$L$29)</f>
        <v>0</v>
      </c>
      <c r="L8" s="995"/>
      <c r="N8" s="523">
        <f t="shared" ref="N8:N26" si="6">VLOOKUP(D8,$AD$6:$AE$8,2,FALSE)</f>
        <v>1.2</v>
      </c>
      <c r="O8" s="759">
        <f t="shared" si="0"/>
        <v>120</v>
      </c>
      <c r="P8" s="725">
        <f>'Axe 1'!K26</f>
        <v>30</v>
      </c>
      <c r="Q8" s="722">
        <v>1</v>
      </c>
      <c r="R8" s="723">
        <f>'Axe 1'!K27</f>
        <v>50</v>
      </c>
      <c r="S8" s="722">
        <v>2</v>
      </c>
      <c r="T8" s="723">
        <f>'Axe 1'!K29</f>
        <v>20</v>
      </c>
      <c r="U8" s="738">
        <v>1</v>
      </c>
      <c r="V8" s="741">
        <f t="shared" si="1"/>
        <v>36</v>
      </c>
      <c r="W8" s="740">
        <f t="shared" si="2"/>
        <v>30</v>
      </c>
      <c r="X8" s="748">
        <f t="shared" si="3"/>
        <v>24</v>
      </c>
      <c r="Y8" s="752">
        <f t="shared" si="4"/>
        <v>1.6605166051660517E-2</v>
      </c>
      <c r="Z8" s="750">
        <f t="shared" si="5"/>
        <v>1.3837638376383764E-2</v>
      </c>
      <c r="AA8" s="753">
        <f t="shared" si="5"/>
        <v>1.107011070110701E-2</v>
      </c>
      <c r="AD8" s="108" t="s">
        <v>345</v>
      </c>
      <c r="AE8" s="109">
        <v>0.8</v>
      </c>
    </row>
    <row r="9" spans="1:31" x14ac:dyDescent="0.25">
      <c r="A9" s="1001">
        <v>2</v>
      </c>
      <c r="B9" s="173" t="s">
        <v>92</v>
      </c>
      <c r="C9" s="289" t="str">
        <f>VLOOKUP(B9,'Axe 2'!$A$6:$B$104,2,FALSE)</f>
        <v xml:space="preserve">Disposer d'un programme de prévention des déchets </v>
      </c>
      <c r="D9" s="769" t="s">
        <v>343</v>
      </c>
      <c r="E9" s="764">
        <f>SUM('Axe 2'!N6:N11)/SUM('Axe 2'!$L$6:$L$11)</f>
        <v>0</v>
      </c>
      <c r="F9" s="993">
        <f>AVERAGE(E9:E13)</f>
        <v>0</v>
      </c>
      <c r="G9" s="714"/>
      <c r="H9" s="764">
        <f>SUM('Axe 2'!S6:S11)/SUM('Axe 2'!$L$6:$L$11)</f>
        <v>0</v>
      </c>
      <c r="I9" s="993">
        <f>AVERAGE(H9:H13)</f>
        <v>0</v>
      </c>
      <c r="J9" s="714"/>
      <c r="K9" s="764">
        <f>SUM('Axe 2'!X6:X11)/SUM('Axe 2'!$L$6:$L$11)</f>
        <v>0</v>
      </c>
      <c r="L9" s="993">
        <f>AVERAGE(K9:K13)</f>
        <v>0</v>
      </c>
      <c r="N9" s="524">
        <f t="shared" si="6"/>
        <v>1.2</v>
      </c>
      <c r="O9" s="759">
        <f t="shared" si="0"/>
        <v>120</v>
      </c>
      <c r="P9" s="725">
        <f>'Axe 2'!K6</f>
        <v>10</v>
      </c>
      <c r="Q9" s="722">
        <v>2</v>
      </c>
      <c r="R9" s="723">
        <f>'Axe 2'!K8</f>
        <v>60</v>
      </c>
      <c r="S9" s="722">
        <v>2</v>
      </c>
      <c r="T9" s="723">
        <f>'Axe 2'!K10</f>
        <v>30</v>
      </c>
      <c r="U9" s="738">
        <v>2</v>
      </c>
      <c r="V9" s="741">
        <f t="shared" si="1"/>
        <v>6</v>
      </c>
      <c r="W9" s="740">
        <f t="shared" si="2"/>
        <v>36</v>
      </c>
      <c r="X9" s="748">
        <f t="shared" si="3"/>
        <v>18</v>
      </c>
      <c r="Y9" s="752">
        <f t="shared" si="4"/>
        <v>2.7675276752767526E-3</v>
      </c>
      <c r="Z9" s="750">
        <f t="shared" si="5"/>
        <v>1.6605166051660517E-2</v>
      </c>
      <c r="AA9" s="753">
        <f t="shared" si="5"/>
        <v>8.3025830258302586E-3</v>
      </c>
    </row>
    <row r="10" spans="1:31" x14ac:dyDescent="0.25">
      <c r="A10" s="998"/>
      <c r="B10" s="170" t="s">
        <v>102</v>
      </c>
      <c r="C10" s="286" t="str">
        <f>VLOOKUP(B10,'Axe 2'!$A$6:$B$104,2,FALSE)</f>
        <v>Améliorer l'efficience du système de collecte</v>
      </c>
      <c r="D10" s="766" t="s">
        <v>344</v>
      </c>
      <c r="E10" s="761">
        <f>SUM('Axe 2'!N13:N25)/SUM('Axe 2'!$L$13:$L$25)</f>
        <v>0</v>
      </c>
      <c r="F10" s="994"/>
      <c r="G10" s="714"/>
      <c r="H10" s="761">
        <f>SUM('Axe 2'!S13:S25)/SUM('Axe 2'!$L$13:$L$25)</f>
        <v>0</v>
      </c>
      <c r="I10" s="994"/>
      <c r="J10" s="714"/>
      <c r="K10" s="761">
        <f>SUM('Axe 2'!X13:X25)/SUM('Axe 2'!$L$13:$L$25)</f>
        <v>0</v>
      </c>
      <c r="L10" s="994"/>
      <c r="N10" s="521">
        <f t="shared" si="6"/>
        <v>1</v>
      </c>
      <c r="O10" s="759">
        <f t="shared" si="0"/>
        <v>100</v>
      </c>
      <c r="P10" s="725">
        <f>'Axe 2'!K13</f>
        <v>40</v>
      </c>
      <c r="Q10" s="722">
        <v>9</v>
      </c>
      <c r="R10" s="723">
        <f>'Axe 2'!K22</f>
        <v>60</v>
      </c>
      <c r="S10" s="722">
        <v>4</v>
      </c>
      <c r="T10" s="721">
        <v>0</v>
      </c>
      <c r="U10" s="738">
        <v>0</v>
      </c>
      <c r="V10" s="741">
        <f t="shared" si="1"/>
        <v>4.4444444444444446</v>
      </c>
      <c r="W10" s="740">
        <f t="shared" si="2"/>
        <v>15</v>
      </c>
      <c r="X10" s="748">
        <f t="shared" si="3"/>
        <v>0</v>
      </c>
      <c r="Y10" s="752">
        <f t="shared" si="4"/>
        <v>2.050020500205002E-3</v>
      </c>
      <c r="Z10" s="750">
        <f t="shared" si="5"/>
        <v>6.9188191881918819E-3</v>
      </c>
      <c r="AA10" s="753">
        <f t="shared" si="5"/>
        <v>0</v>
      </c>
    </row>
    <row r="11" spans="1:31" x14ac:dyDescent="0.25">
      <c r="A11" s="998"/>
      <c r="B11" s="170" t="s">
        <v>115</v>
      </c>
      <c r="C11" s="286" t="str">
        <f>VLOOKUP(B11,'Axe 2'!$A$6:$B$104,2,FALSE)</f>
        <v>Valoriser et hiérarchiser le traitement de la matière (dont matière organique)</v>
      </c>
      <c r="D11" s="766" t="s">
        <v>343</v>
      </c>
      <c r="E11" s="761">
        <f>SUM('Axe 2'!N27:N75)/SUM('Axe 2'!$L$27:$L$75)</f>
        <v>0</v>
      </c>
      <c r="F11" s="994"/>
      <c r="G11" s="714"/>
      <c r="H11" s="761">
        <f>SUM('Axe 2'!S27:S75)/SUM('Axe 2'!$L$27:$L$75)</f>
        <v>0</v>
      </c>
      <c r="I11" s="994"/>
      <c r="J11" s="714"/>
      <c r="K11" s="761">
        <f>SUM('Axe 2'!X27:X75)/SUM('Axe 2'!$L$27:$L$75)</f>
        <v>0</v>
      </c>
      <c r="L11" s="994"/>
      <c r="N11" s="521">
        <f t="shared" si="6"/>
        <v>1.2</v>
      </c>
      <c r="O11" s="759">
        <f t="shared" si="0"/>
        <v>120</v>
      </c>
      <c r="P11" s="725">
        <f>'Axe 2'!K27</f>
        <v>30</v>
      </c>
      <c r="Q11" s="722">
        <v>4</v>
      </c>
      <c r="R11" s="723">
        <f>'Axe 2'!K31</f>
        <v>70</v>
      </c>
      <c r="S11" s="724">
        <f>IF(Préambule!E51&lt;&gt;"",HLOOKUP(Préambule!E51,'Liens axe 2'!$B$5:$S$14,10,FALSE),0)+IF(Préambule!E52&lt;&gt;"",HLOOKUP(Préambule!E52,'Liens axe 2'!$B$5:$S$14,10,FALSE),0)+IF(Préambule!E53&lt;&gt;"",HLOOKUP(Préambule!E53,'Liens axe 2'!$B$5:$S$14,10,FALSE),0)+IF(Préambule!E54&lt;&gt;"",HLOOKUP(Préambule!E54,'Liens axe 2'!$B$5:$S$14,10,FALSE),0)+IF(Préambule!E55&lt;&gt;"",HLOOKUP(Préambule!E55,'Liens axe 2'!$B$5:$S$14,10,FALSE),0)</f>
        <v>10</v>
      </c>
      <c r="T11" s="721">
        <v>0</v>
      </c>
      <c r="U11" s="738">
        <v>0</v>
      </c>
      <c r="V11" s="741">
        <f t="shared" si="1"/>
        <v>9</v>
      </c>
      <c r="W11" s="740">
        <f t="shared" si="2"/>
        <v>8.4</v>
      </c>
      <c r="X11" s="748">
        <f t="shared" si="3"/>
        <v>0</v>
      </c>
      <c r="Y11" s="752">
        <f t="shared" si="4"/>
        <v>4.1512915129151293E-3</v>
      </c>
      <c r="Z11" s="750">
        <f t="shared" si="5"/>
        <v>3.8745387453874539E-3</v>
      </c>
      <c r="AA11" s="753">
        <f t="shared" si="5"/>
        <v>0</v>
      </c>
    </row>
    <row r="12" spans="1:31" x14ac:dyDescent="0.25">
      <c r="A12" s="998"/>
      <c r="B12" s="170" t="s">
        <v>122</v>
      </c>
      <c r="C12" s="286" t="str">
        <f>VLOOKUP(B12,'Axe 2'!$A$6:$B$104,2,FALSE)</f>
        <v xml:space="preserve">Réduire les impacts environnementaux et sociaux de la gestion des déchets </v>
      </c>
      <c r="D12" s="766" t="s">
        <v>345</v>
      </c>
      <c r="E12" s="761">
        <f>SUM('Axe 2'!N77:N95)/SUM('Axe 2'!$L$77:$L$95)</f>
        <v>0</v>
      </c>
      <c r="F12" s="994"/>
      <c r="G12" s="714"/>
      <c r="H12" s="761">
        <f>SUM('Axe 2'!S77:S95)/SUM('Axe 2'!$L$77:$L$95)</f>
        <v>0</v>
      </c>
      <c r="I12" s="994"/>
      <c r="J12" s="714"/>
      <c r="K12" s="761">
        <f>SUM('Axe 2'!X77:X95)/SUM('Axe 2'!$L$77:$L$95)</f>
        <v>0</v>
      </c>
      <c r="L12" s="994"/>
      <c r="N12" s="521">
        <f t="shared" si="6"/>
        <v>0.8</v>
      </c>
      <c r="O12" s="759">
        <f t="shared" si="0"/>
        <v>80</v>
      </c>
      <c r="P12" s="725">
        <f>'Axe 2'!K77</f>
        <v>10</v>
      </c>
      <c r="Q12" s="722">
        <v>3</v>
      </c>
      <c r="R12" s="723">
        <f>'Axe 2'!K80</f>
        <v>60</v>
      </c>
      <c r="S12" s="722">
        <v>10</v>
      </c>
      <c r="T12" s="723">
        <f>'Axe 2'!K90</f>
        <v>30</v>
      </c>
      <c r="U12" s="738">
        <v>6</v>
      </c>
      <c r="V12" s="741">
        <f t="shared" si="1"/>
        <v>2.6666666666666665</v>
      </c>
      <c r="W12" s="740">
        <f t="shared" si="2"/>
        <v>4.8</v>
      </c>
      <c r="X12" s="748">
        <f t="shared" si="3"/>
        <v>4</v>
      </c>
      <c r="Y12" s="752">
        <f t="shared" si="4"/>
        <v>1.2300123001230013E-3</v>
      </c>
      <c r="Z12" s="750">
        <f t="shared" si="5"/>
        <v>2.2140221402214021E-3</v>
      </c>
      <c r="AA12" s="753">
        <f t="shared" si="5"/>
        <v>1.8450184501845018E-3</v>
      </c>
    </row>
    <row r="13" spans="1:31" ht="15.75" thickBot="1" x14ac:dyDescent="0.3">
      <c r="A13" s="999"/>
      <c r="B13" s="174" t="s">
        <v>140</v>
      </c>
      <c r="C13" s="287" t="str">
        <f>VLOOKUP(B13,'Axe 2'!$A$6:$B$104,2,FALSE)</f>
        <v>Créer du lien avec les autres déchets des acteurs économiques pour identifier des dynamiques sur les autres types de déchets (BTP, DAE…)</v>
      </c>
      <c r="D13" s="767" t="s">
        <v>345</v>
      </c>
      <c r="E13" s="762">
        <f>SUM('Axe 2'!N97:N104)/SUM('Axe 2'!$L$97:$L$104)</f>
        <v>0</v>
      </c>
      <c r="F13" s="995"/>
      <c r="G13" s="714"/>
      <c r="H13" s="762">
        <f>SUM('Axe 2'!S97:S104)/SUM('Axe 2'!$L$97:$L$104)</f>
        <v>0</v>
      </c>
      <c r="I13" s="995"/>
      <c r="J13" s="714"/>
      <c r="K13" s="762">
        <f>SUM('Axe 2'!X97:X104)/SUM('Axe 2'!$L$97:$L$104)</f>
        <v>0</v>
      </c>
      <c r="L13" s="995"/>
      <c r="N13" s="522">
        <f t="shared" si="6"/>
        <v>0.8</v>
      </c>
      <c r="O13" s="759">
        <f t="shared" si="0"/>
        <v>80</v>
      </c>
      <c r="P13" s="725">
        <f>'Axe 2'!K97</f>
        <v>20</v>
      </c>
      <c r="Q13" s="722">
        <v>3</v>
      </c>
      <c r="R13" s="723">
        <f>'Axe 2'!K100</f>
        <v>80</v>
      </c>
      <c r="S13" s="722">
        <f>IF(Préambule!E45="Non",3,5)</f>
        <v>5</v>
      </c>
      <c r="T13" s="721">
        <v>0</v>
      </c>
      <c r="U13" s="738">
        <v>0</v>
      </c>
      <c r="V13" s="741">
        <f>IF(Q13=0,0,$O13*P13/100/Q13)</f>
        <v>5.333333333333333</v>
      </c>
      <c r="W13" s="740">
        <f>IF(S13=0,0,$O13*R13/100/S13)</f>
        <v>12.8</v>
      </c>
      <c r="X13" s="748">
        <f t="shared" si="3"/>
        <v>0</v>
      </c>
      <c r="Y13" s="752">
        <f t="shared" si="4"/>
        <v>2.4600246002460025E-3</v>
      </c>
      <c r="Z13" s="750">
        <f t="shared" si="5"/>
        <v>5.9040590405904066E-3</v>
      </c>
      <c r="AA13" s="753">
        <f t="shared" si="5"/>
        <v>0</v>
      </c>
    </row>
    <row r="14" spans="1:31" x14ac:dyDescent="0.25">
      <c r="A14" s="997">
        <v>3</v>
      </c>
      <c r="B14" s="169" t="s">
        <v>172</v>
      </c>
      <c r="C14" s="285" t="str">
        <f>VLOOKUP(B14,'Axe 3'!$A$6:$B$89,2,FALSE)</f>
        <v>Identifier et développer des boucles de l'économie circulaire à enjeu sur le territoire</v>
      </c>
      <c r="D14" s="765" t="s">
        <v>343</v>
      </c>
      <c r="E14" s="760">
        <f>SUM('Axe 3'!N6:N8)/SUM('Axe 3'!$L$6:$L$8)</f>
        <v>0</v>
      </c>
      <c r="F14" s="993">
        <f>IF(AND(Préambule!E43="Oui",Préambule!E45="Non"),AVERAGE(E14:E16,E18:E20),AVERAGE(E14:E20))</f>
        <v>0</v>
      </c>
      <c r="G14" s="714"/>
      <c r="H14" s="760">
        <f>SUM('Axe 3'!S6:S8)/SUM('Axe 3'!$L$6:$L$8)</f>
        <v>0</v>
      </c>
      <c r="I14" s="993">
        <f>IF(AND(Préambule!H43="Oui",Préambule!H45="Non"),AVERAGE(H14:H16,H18:H20),AVERAGE(H14:H20))</f>
        <v>0</v>
      </c>
      <c r="J14" s="714"/>
      <c r="K14" s="760">
        <f>SUM('Axe 3'!X6:X8)/SUM('Axe 3'!$L$6:$L$8)</f>
        <v>0</v>
      </c>
      <c r="L14" s="993">
        <f>IF(AND(Préambule!K43="Oui",Préambule!K45="Non"),AVERAGE(K14:K16,K18:K20),AVERAGE(K14:K20))</f>
        <v>0</v>
      </c>
      <c r="N14" s="520">
        <f t="shared" si="6"/>
        <v>1.2</v>
      </c>
      <c r="O14" s="759">
        <f t="shared" si="0"/>
        <v>120</v>
      </c>
      <c r="P14" s="725">
        <f>'Axe 3'!K6</f>
        <v>60</v>
      </c>
      <c r="Q14" s="722">
        <v>2</v>
      </c>
      <c r="R14" s="723">
        <f>'Axe 3'!K8</f>
        <v>40</v>
      </c>
      <c r="S14" s="722">
        <v>1</v>
      </c>
      <c r="T14" s="721">
        <v>0</v>
      </c>
      <c r="U14" s="738">
        <v>0</v>
      </c>
      <c r="V14" s="741">
        <f t="shared" si="1"/>
        <v>36</v>
      </c>
      <c r="W14" s="740">
        <f>IF(S14=0,0,$O14*R14/100/S14)</f>
        <v>48</v>
      </c>
      <c r="X14" s="748">
        <f t="shared" si="3"/>
        <v>0</v>
      </c>
      <c r="Y14" s="752">
        <f t="shared" si="4"/>
        <v>1.6605166051660517E-2</v>
      </c>
      <c r="Z14" s="750">
        <f t="shared" si="5"/>
        <v>2.2140221402214021E-2</v>
      </c>
      <c r="AA14" s="753">
        <f t="shared" si="5"/>
        <v>0</v>
      </c>
    </row>
    <row r="15" spans="1:31" x14ac:dyDescent="0.25">
      <c r="A15" s="998"/>
      <c r="B15" s="170" t="s">
        <v>175</v>
      </c>
      <c r="C15" s="286" t="str">
        <f>VLOOKUP(B15,'Axe 3'!$A$6:$B$89,2,FALSE)</f>
        <v>Etre éco-exemplaire et acheter responsable</v>
      </c>
      <c r="D15" s="766" t="s">
        <v>343</v>
      </c>
      <c r="E15" s="761">
        <f>SUM('Axe 3'!N10:N26)/SUM('Axe 3'!$L$10:$L$26)</f>
        <v>0</v>
      </c>
      <c r="F15" s="994"/>
      <c r="G15" s="714"/>
      <c r="H15" s="761">
        <f>SUM('Axe 3'!S10:S26)/SUM('Axe 3'!$L$10:$L$26)</f>
        <v>0</v>
      </c>
      <c r="I15" s="994"/>
      <c r="J15" s="714"/>
      <c r="K15" s="761">
        <f>SUM('Axe 3'!X10:X26)/SUM('Axe 3'!$L$10:$L$26)</f>
        <v>0</v>
      </c>
      <c r="L15" s="994"/>
      <c r="N15" s="521">
        <f t="shared" si="6"/>
        <v>1.2</v>
      </c>
      <c r="O15" s="759">
        <f t="shared" si="0"/>
        <v>120</v>
      </c>
      <c r="P15" s="725">
        <f>'Axe 3'!K10</f>
        <v>20</v>
      </c>
      <c r="Q15" s="722">
        <f>8-IF(Préambule!E59="Non",1,0)-IF(Préambule!E61="Non",1,0)-IF(Préambule!E45="Non",1,0)</f>
        <v>7</v>
      </c>
      <c r="R15" s="723">
        <f>'Axe 3'!K18</f>
        <v>70</v>
      </c>
      <c r="S15" s="722">
        <f>IF(Préambule!E45="Non",7,8)</f>
        <v>8</v>
      </c>
      <c r="T15" s="723">
        <f>'Axe 3'!K26</f>
        <v>10</v>
      </c>
      <c r="U15" s="738">
        <v>1</v>
      </c>
      <c r="V15" s="741">
        <f t="shared" si="1"/>
        <v>3.4285714285714284</v>
      </c>
      <c r="W15" s="740">
        <f t="shared" si="2"/>
        <v>10.5</v>
      </c>
      <c r="X15" s="748">
        <f t="shared" si="3"/>
        <v>12</v>
      </c>
      <c r="Y15" s="752">
        <f t="shared" si="4"/>
        <v>1.5814443858724301E-3</v>
      </c>
      <c r="Z15" s="750">
        <f t="shared" si="5"/>
        <v>4.8431734317343177E-3</v>
      </c>
      <c r="AA15" s="753">
        <f t="shared" si="5"/>
        <v>5.5350553505535052E-3</v>
      </c>
    </row>
    <row r="16" spans="1:31" x14ac:dyDescent="0.25">
      <c r="A16" s="998"/>
      <c r="B16" s="170" t="s">
        <v>180</v>
      </c>
      <c r="C16" s="286" t="str">
        <f>VLOOKUP(B16,'Axe 3'!$A$6:$B$89,2,FALSE)</f>
        <v>Soutenir et accompagner la consommation responsable et la sobriété des acteurs du territoire</v>
      </c>
      <c r="D16" s="766" t="s">
        <v>343</v>
      </c>
      <c r="E16" s="761">
        <f>SUM('Axe 3'!N28:N31)/SUM('Axe 3'!$L$28:$L$31)</f>
        <v>0</v>
      </c>
      <c r="F16" s="994"/>
      <c r="G16" s="714"/>
      <c r="H16" s="761">
        <f>SUM('Axe 3'!S28:S31)/SUM('Axe 3'!$L$28:$L$31)</f>
        <v>0</v>
      </c>
      <c r="I16" s="994"/>
      <c r="J16" s="714"/>
      <c r="K16" s="761">
        <f>SUM('Axe 3'!X28:X31)/SUM('Axe 3'!$L$28:$L$31)</f>
        <v>0</v>
      </c>
      <c r="L16" s="994"/>
      <c r="N16" s="521">
        <f t="shared" si="6"/>
        <v>1.2</v>
      </c>
      <c r="O16" s="759">
        <f t="shared" si="0"/>
        <v>120</v>
      </c>
      <c r="P16" s="725">
        <f>'Axe 3'!K28</f>
        <v>10</v>
      </c>
      <c r="Q16" s="722">
        <v>1</v>
      </c>
      <c r="R16" s="723">
        <f>'Axe 3'!K29</f>
        <v>70</v>
      </c>
      <c r="S16" s="722">
        <v>2</v>
      </c>
      <c r="T16" s="723">
        <f>'Axe 3'!K31</f>
        <v>20</v>
      </c>
      <c r="U16" s="738">
        <v>1</v>
      </c>
      <c r="V16" s="741">
        <f t="shared" si="1"/>
        <v>12</v>
      </c>
      <c r="W16" s="740">
        <f t="shared" si="2"/>
        <v>42</v>
      </c>
      <c r="X16" s="748">
        <f t="shared" si="3"/>
        <v>24</v>
      </c>
      <c r="Y16" s="752">
        <f t="shared" si="4"/>
        <v>5.5350553505535052E-3</v>
      </c>
      <c r="Z16" s="750">
        <f t="shared" si="5"/>
        <v>1.9372693726937271E-2</v>
      </c>
      <c r="AA16" s="753">
        <f t="shared" si="5"/>
        <v>1.107011070110701E-2</v>
      </c>
    </row>
    <row r="17" spans="1:27" x14ac:dyDescent="0.25">
      <c r="A17" s="998"/>
      <c r="B17" s="170" t="s">
        <v>191</v>
      </c>
      <c r="C17" s="286" t="str">
        <f>VLOOKUP(B17,'Axe 3'!$A$6:$B$89,2,FALSE)</f>
        <v>Soutenir et accompagner l'éco-conception des produits transformés et les produits serviciels du territoire</v>
      </c>
      <c r="D17" s="766" t="s">
        <v>344</v>
      </c>
      <c r="E17" s="761">
        <f>IF(AND(Préambule!$E$43="Oui",OR(Préambule!$E$45="Non",Préambule!E63="Non")),"Non noté",SUM('Axe 3'!N33:N36)/SUM('Axe 3'!$L$33:$L$36))</f>
        <v>0</v>
      </c>
      <c r="F17" s="994"/>
      <c r="G17" s="714"/>
      <c r="H17" s="761">
        <f>IF(AND(Préambule!$E$43="Oui",OR(Préambule!$E$45="Non",Préambule!E63="Non")),"Non noté",SUM('Axe 3'!S33:S36)/SUM('Axe 3'!$L$33:$L$36))</f>
        <v>0</v>
      </c>
      <c r="I17" s="994"/>
      <c r="J17" s="714"/>
      <c r="K17" s="761">
        <f>IF(AND(Préambule!$E$43="Oui",OR(Préambule!$E$45="Non",Préambule!E63="Non")),"Non noté",SUM('Axe 3'!X33:X36)/SUM('Axe 3'!$L$33:$L$36))</f>
        <v>0</v>
      </c>
      <c r="L17" s="994"/>
      <c r="N17" s="521">
        <f t="shared" si="6"/>
        <v>1</v>
      </c>
      <c r="O17" s="759">
        <f t="shared" si="0"/>
        <v>100</v>
      </c>
      <c r="P17" s="725">
        <f>'Axe 3'!K33</f>
        <v>40</v>
      </c>
      <c r="Q17" s="722">
        <f>IF(Préambule!E43="Oui",0,1)</f>
        <v>0</v>
      </c>
      <c r="R17" s="723">
        <f>'Axe 3'!K34</f>
        <v>60</v>
      </c>
      <c r="S17" s="722">
        <f>3-IF(Préambule!E43="Oui",2,0)-IF(OR(Préambule!E45="Non",Préambule!E63="Non"),1,0)</f>
        <v>1</v>
      </c>
      <c r="T17" s="721">
        <v>0</v>
      </c>
      <c r="U17" s="738">
        <v>0</v>
      </c>
      <c r="V17" s="741">
        <f t="shared" si="1"/>
        <v>0</v>
      </c>
      <c r="W17" s="740">
        <f t="shared" si="2"/>
        <v>60</v>
      </c>
      <c r="X17" s="748">
        <f t="shared" si="3"/>
        <v>0</v>
      </c>
      <c r="Y17" s="752">
        <f t="shared" si="4"/>
        <v>0</v>
      </c>
      <c r="Z17" s="750">
        <f t="shared" si="5"/>
        <v>2.7675276752767528E-2</v>
      </c>
      <c r="AA17" s="753">
        <f t="shared" si="5"/>
        <v>0</v>
      </c>
    </row>
    <row r="18" spans="1:27" x14ac:dyDescent="0.25">
      <c r="A18" s="998"/>
      <c r="B18" s="170" t="s">
        <v>198</v>
      </c>
      <c r="C18" s="286" t="str">
        <f>VLOOKUP(B18,'Axe 3'!$A$6:$B$89,2,FALSE)</f>
        <v>Soutenir et accompagner les projets d'Ecologie Industrielle et Territoriale (EIT)</v>
      </c>
      <c r="D18" s="766" t="s">
        <v>344</v>
      </c>
      <c r="E18" s="761">
        <f>SUM('Axe 3'!N38:N45)/SUM('Axe 3'!$L$38:$L$45)</f>
        <v>0</v>
      </c>
      <c r="F18" s="994"/>
      <c r="G18" s="714"/>
      <c r="H18" s="761">
        <f>SUM('Axe 3'!S38:S45)/SUM('Axe 3'!$L$38:$L$45)</f>
        <v>0</v>
      </c>
      <c r="I18" s="994"/>
      <c r="J18" s="714"/>
      <c r="K18" s="761">
        <f>SUM('Axe 3'!X38:X45)/SUM('Axe 3'!$L$38:$L$45)</f>
        <v>0</v>
      </c>
      <c r="L18" s="994"/>
      <c r="N18" s="521">
        <f t="shared" si="6"/>
        <v>1</v>
      </c>
      <c r="O18" s="759">
        <f t="shared" si="0"/>
        <v>100</v>
      </c>
      <c r="P18" s="725">
        <f>'Axe 3'!K38</f>
        <v>50</v>
      </c>
      <c r="Q18" s="722">
        <v>3</v>
      </c>
      <c r="R18" s="723">
        <f>'Axe 3'!K41</f>
        <v>40</v>
      </c>
      <c r="S18" s="722">
        <f>IF(Préambule!E43="Oui",2,4)</f>
        <v>2</v>
      </c>
      <c r="T18" s="723">
        <f>'Axe 3'!K45</f>
        <v>10</v>
      </c>
      <c r="U18" s="738">
        <v>1</v>
      </c>
      <c r="V18" s="741">
        <f t="shared" si="1"/>
        <v>16.666666666666668</v>
      </c>
      <c r="W18" s="740">
        <f t="shared" si="2"/>
        <v>20</v>
      </c>
      <c r="X18" s="748">
        <f t="shared" si="3"/>
        <v>10</v>
      </c>
      <c r="Y18" s="752">
        <f t="shared" si="4"/>
        <v>7.6875768757687585E-3</v>
      </c>
      <c r="Z18" s="750">
        <f t="shared" si="5"/>
        <v>9.2250922509225092E-3</v>
      </c>
      <c r="AA18" s="753">
        <f t="shared" si="5"/>
        <v>4.6125461254612546E-3</v>
      </c>
    </row>
    <row r="19" spans="1:27" x14ac:dyDescent="0.25">
      <c r="A19" s="998"/>
      <c r="B19" s="170" t="s">
        <v>203</v>
      </c>
      <c r="C19" s="286" t="str">
        <f>VLOOKUP(B19,'Axe 3'!$A$6:$B$89,2,FALSE)</f>
        <v>Soutenir et accompagner l'économie de la fonctionnalité</v>
      </c>
      <c r="D19" s="766" t="s">
        <v>344</v>
      </c>
      <c r="E19" s="761">
        <f>SUM('Axe 3'!N47:N51)/SUM('Axe 3'!$L$47:$L$51)</f>
        <v>0</v>
      </c>
      <c r="F19" s="994"/>
      <c r="G19" s="714"/>
      <c r="H19" s="761">
        <f>SUM('Axe 3'!S47:S51)/SUM('Axe 3'!$L$47:$L$51)</f>
        <v>0</v>
      </c>
      <c r="I19" s="994"/>
      <c r="J19" s="714"/>
      <c r="K19" s="761">
        <f>SUM('Axe 3'!X47:X51)/SUM('Axe 3'!$L$47:$L$51)</f>
        <v>0</v>
      </c>
      <c r="L19" s="994"/>
      <c r="N19" s="521">
        <f t="shared" si="6"/>
        <v>1</v>
      </c>
      <c r="O19" s="759">
        <f t="shared" si="0"/>
        <v>100</v>
      </c>
      <c r="P19" s="725">
        <f>'Axe 3'!K47</f>
        <v>40</v>
      </c>
      <c r="Q19" s="722">
        <v>2</v>
      </c>
      <c r="R19" s="723">
        <f>'Axe 3'!K49</f>
        <v>60</v>
      </c>
      <c r="S19" s="722">
        <f>IF(Préambule!E45="Non",2,3)</f>
        <v>3</v>
      </c>
      <c r="T19" s="721">
        <v>0</v>
      </c>
      <c r="U19" s="738">
        <v>0</v>
      </c>
      <c r="V19" s="741">
        <f t="shared" si="1"/>
        <v>20</v>
      </c>
      <c r="W19" s="740">
        <f t="shared" si="2"/>
        <v>20</v>
      </c>
      <c r="X19" s="748">
        <f t="shared" si="3"/>
        <v>0</v>
      </c>
      <c r="Y19" s="752">
        <f t="shared" si="4"/>
        <v>9.2250922509225092E-3</v>
      </c>
      <c r="Z19" s="750">
        <f t="shared" si="5"/>
        <v>9.2250922509225092E-3</v>
      </c>
      <c r="AA19" s="753">
        <f t="shared" si="5"/>
        <v>0</v>
      </c>
    </row>
    <row r="20" spans="1:27" ht="15.75" thickBot="1" x14ac:dyDescent="0.3">
      <c r="A20" s="999"/>
      <c r="B20" s="174" t="s">
        <v>213</v>
      </c>
      <c r="C20" s="287" t="str">
        <f>VLOOKUP(B20,'Axe 3'!$A$6:$B$89,2,FALSE)</f>
        <v>Soutenir et accompagner la recherche, l'innovation et l'expérimentation</v>
      </c>
      <c r="D20" s="767" t="s">
        <v>344</v>
      </c>
      <c r="E20" s="762">
        <f>SUM('Axe 3'!N53:N56)/SUM('Axe 3'!$L$53:$L$56)</f>
        <v>0</v>
      </c>
      <c r="F20" s="995"/>
      <c r="G20" s="714"/>
      <c r="H20" s="762">
        <f>SUM('Axe 3'!S53:S56)/SUM('Axe 3'!$L$53:$L$56)</f>
        <v>0</v>
      </c>
      <c r="I20" s="995"/>
      <c r="J20" s="714"/>
      <c r="K20" s="762">
        <f>SUM('Axe 3'!X53:X56)/SUM('Axe 3'!$L$53:$L$56)</f>
        <v>0</v>
      </c>
      <c r="L20" s="995"/>
      <c r="N20" s="522">
        <f t="shared" si="6"/>
        <v>1</v>
      </c>
      <c r="O20" s="759">
        <f t="shared" si="0"/>
        <v>100</v>
      </c>
      <c r="P20" s="725">
        <f>'Axe 3'!K53</f>
        <v>30</v>
      </c>
      <c r="Q20" s="722">
        <v>2</v>
      </c>
      <c r="R20" s="723">
        <f>'Axe 3'!K55</f>
        <v>70</v>
      </c>
      <c r="S20" s="722">
        <v>2</v>
      </c>
      <c r="T20" s="721">
        <v>0</v>
      </c>
      <c r="U20" s="738">
        <v>0</v>
      </c>
      <c r="V20" s="741">
        <f t="shared" si="1"/>
        <v>15</v>
      </c>
      <c r="W20" s="740">
        <f t="shared" si="2"/>
        <v>35</v>
      </c>
      <c r="X20" s="748">
        <f t="shared" si="3"/>
        <v>0</v>
      </c>
      <c r="Y20" s="752">
        <f t="shared" si="4"/>
        <v>6.9188191881918819E-3</v>
      </c>
      <c r="Z20" s="750">
        <f t="shared" si="5"/>
        <v>1.6143911439114391E-2</v>
      </c>
      <c r="AA20" s="753">
        <f t="shared" si="5"/>
        <v>0</v>
      </c>
    </row>
    <row r="21" spans="1:27" x14ac:dyDescent="0.25">
      <c r="A21" s="997">
        <v>4</v>
      </c>
      <c r="B21" s="169" t="s">
        <v>283</v>
      </c>
      <c r="C21" s="285" t="str">
        <f>VLOOKUP(B21,'Axe 4'!$A$6:$B$25,2,FALSE)</f>
        <v xml:space="preserve">Connaitre les coûts pour maîtriser les dépenses publiques </v>
      </c>
      <c r="D21" s="765" t="s">
        <v>344</v>
      </c>
      <c r="E21" s="760">
        <f>SUM('Axe 4'!N6:N11)/SUM('Axe 4'!$L$6:$L$11)</f>
        <v>0</v>
      </c>
      <c r="F21" s="993">
        <f>IF(Préambule!E43="Oui",AVERAGE(E21:E22),AVERAGE(E21:E23))</f>
        <v>0</v>
      </c>
      <c r="G21" s="714"/>
      <c r="H21" s="760">
        <f>SUM('Axe 4'!S6:S11)/SUM('Axe 4'!$L$6:$L$11)</f>
        <v>0</v>
      </c>
      <c r="I21" s="993">
        <f>IF(Préambule!H43="Oui",AVERAGE(H21:H22),AVERAGE(H21:H23))</f>
        <v>0</v>
      </c>
      <c r="J21" s="714"/>
      <c r="K21" s="760">
        <f>SUM('Axe 4'!X6:X11)/SUM('Axe 4'!$L$6:$L$11)</f>
        <v>0</v>
      </c>
      <c r="L21" s="993">
        <f>IF(Préambule!K43="Oui",AVERAGE(K21:K22),AVERAGE(K21:K23))</f>
        <v>0</v>
      </c>
      <c r="N21" s="520">
        <f t="shared" si="6"/>
        <v>1</v>
      </c>
      <c r="O21" s="759">
        <f t="shared" si="0"/>
        <v>100</v>
      </c>
      <c r="P21" s="725">
        <f>'Axe 4'!K6</f>
        <v>10</v>
      </c>
      <c r="Q21" s="722">
        <v>1</v>
      </c>
      <c r="R21" s="723">
        <f>'Axe 4'!K7</f>
        <v>60</v>
      </c>
      <c r="S21" s="722">
        <v>4</v>
      </c>
      <c r="T21" s="723">
        <f>'Axe 4'!K11</f>
        <v>30</v>
      </c>
      <c r="U21" s="738">
        <v>1</v>
      </c>
      <c r="V21" s="741">
        <f t="shared" si="1"/>
        <v>10</v>
      </c>
      <c r="W21" s="740">
        <f t="shared" si="2"/>
        <v>15</v>
      </c>
      <c r="X21" s="748">
        <f t="shared" si="3"/>
        <v>30</v>
      </c>
      <c r="Y21" s="752">
        <f t="shared" si="4"/>
        <v>4.6125461254612546E-3</v>
      </c>
      <c r="Z21" s="750">
        <f t="shared" ref="Z21:Z26" si="7">W21/SUM($V$28:$X$28)</f>
        <v>6.9188191881918819E-3</v>
      </c>
      <c r="AA21" s="753">
        <f t="shared" ref="AA21:AA26" si="8">X21/SUM($V$28:$X$28)</f>
        <v>1.3837638376383764E-2</v>
      </c>
    </row>
    <row r="22" spans="1:27" x14ac:dyDescent="0.25">
      <c r="A22" s="998"/>
      <c r="B22" s="170" t="s">
        <v>299</v>
      </c>
      <c r="C22" s="286" t="str">
        <f>VLOOKUP(B22,'Axe 4'!$A$6:$B$25,2,FALSE)</f>
        <v>Mettre en place un système de financement qui encourage l'adhésion aux pratiques de l'économie circulaire</v>
      </c>
      <c r="D22" s="766" t="s">
        <v>343</v>
      </c>
      <c r="E22" s="761">
        <f>SUM('Axe 4'!N13:N16)/SUM('Axe 4'!$L$13:$L$16)</f>
        <v>0</v>
      </c>
      <c r="F22" s="994"/>
      <c r="G22" s="714"/>
      <c r="H22" s="761">
        <f>SUM('Axe 4'!S13:S16)/SUM('Axe 4'!$L$13:$L$16)</f>
        <v>0</v>
      </c>
      <c r="I22" s="994"/>
      <c r="J22" s="714"/>
      <c r="K22" s="761">
        <f>SUM('Axe 4'!X13:X16)/SUM('Axe 4'!$L$13:$L$16)</f>
        <v>0</v>
      </c>
      <c r="L22" s="994"/>
      <c r="N22" s="521">
        <f t="shared" si="6"/>
        <v>1.2</v>
      </c>
      <c r="O22" s="759">
        <f t="shared" si="0"/>
        <v>120</v>
      </c>
      <c r="P22" s="725">
        <f>'Axe 4'!K13</f>
        <v>30</v>
      </c>
      <c r="Q22" s="722">
        <v>1</v>
      </c>
      <c r="R22" s="723">
        <f>'Axe 4'!K14</f>
        <v>60</v>
      </c>
      <c r="S22" s="722">
        <v>2</v>
      </c>
      <c r="T22" s="723">
        <f>'Axe 4'!K16</f>
        <v>10</v>
      </c>
      <c r="U22" s="738">
        <v>1</v>
      </c>
      <c r="V22" s="741">
        <f t="shared" si="1"/>
        <v>36</v>
      </c>
      <c r="W22" s="740">
        <f t="shared" si="2"/>
        <v>36</v>
      </c>
      <c r="X22" s="748">
        <f t="shared" si="3"/>
        <v>12</v>
      </c>
      <c r="Y22" s="752">
        <f t="shared" si="4"/>
        <v>1.6605166051660517E-2</v>
      </c>
      <c r="Z22" s="750">
        <f t="shared" si="7"/>
        <v>1.6605166051660517E-2</v>
      </c>
      <c r="AA22" s="753">
        <f t="shared" si="8"/>
        <v>5.5350553505535052E-3</v>
      </c>
    </row>
    <row r="23" spans="1:27" ht="15.75" thickBot="1" x14ac:dyDescent="0.3">
      <c r="A23" s="1000"/>
      <c r="B23" s="171" t="s">
        <v>306</v>
      </c>
      <c r="C23" s="288" t="str">
        <f>VLOOKUP(B23,'Axe 4'!$A$6:$B$25,2,FALSE)</f>
        <v>Promouvoir les nouveaux outils financiers</v>
      </c>
      <c r="D23" s="768" t="s">
        <v>345</v>
      </c>
      <c r="E23" s="763" t="str">
        <f>IF(Préambule!$E$43="Oui","Non noté",SUM('Axe 4'!N18:N25)/SUM('Axe 4'!$L$18:$L$25))</f>
        <v>Non noté</v>
      </c>
      <c r="F23" s="995"/>
      <c r="G23" s="714"/>
      <c r="H23" s="763" t="str">
        <f>IF(Préambule!$E$43="Oui","Non noté",SUM('Axe 4'!S18:S25)/SUM('Axe 4'!$L$18:$L$25))</f>
        <v>Non noté</v>
      </c>
      <c r="I23" s="995"/>
      <c r="J23" s="714"/>
      <c r="K23" s="763" t="str">
        <f>IF(Préambule!$E$43="Oui","Non noté",SUM('Axe 4'!X18:X25)/SUM('Axe 4'!$L$18:$L$25))</f>
        <v>Non noté</v>
      </c>
      <c r="L23" s="995"/>
      <c r="N23" s="523">
        <f t="shared" si="6"/>
        <v>0.8</v>
      </c>
      <c r="O23" s="759">
        <f t="shared" si="0"/>
        <v>80</v>
      </c>
      <c r="P23" s="725">
        <f>'Axe 4'!K18</f>
        <v>10</v>
      </c>
      <c r="Q23" s="722">
        <f>IF(Préambule!E43="Oui",0,3)</f>
        <v>0</v>
      </c>
      <c r="R23" s="723">
        <f>'Axe 4'!K21</f>
        <v>70</v>
      </c>
      <c r="S23" s="722">
        <f>IF(Préambule!E43="Oui",0,4)</f>
        <v>0</v>
      </c>
      <c r="T23" s="723">
        <f>'Axe 4'!K25</f>
        <v>20</v>
      </c>
      <c r="U23" s="738">
        <f>IF(Préambule!E43="Oui",0,1)</f>
        <v>0</v>
      </c>
      <c r="V23" s="741">
        <f t="shared" si="1"/>
        <v>0</v>
      </c>
      <c r="W23" s="740">
        <f t="shared" si="2"/>
        <v>0</v>
      </c>
      <c r="X23" s="748">
        <f t="shared" si="3"/>
        <v>0</v>
      </c>
      <c r="Y23" s="752">
        <f t="shared" si="4"/>
        <v>0</v>
      </c>
      <c r="Z23" s="750">
        <f t="shared" si="7"/>
        <v>0</v>
      </c>
      <c r="AA23" s="753">
        <f t="shared" si="8"/>
        <v>0</v>
      </c>
    </row>
    <row r="24" spans="1:27" x14ac:dyDescent="0.25">
      <c r="A24" s="1001">
        <v>5</v>
      </c>
      <c r="B24" s="173" t="s">
        <v>315</v>
      </c>
      <c r="C24" s="289" t="str">
        <f>VLOOKUP(B24,'Axe 5'!$A$6:$B$22,2,FALSE)</f>
        <v>Concevoir et élaborer une démarche concertée avec l'ensemble des parties prenantes du territoire, les responsabiliser et leur donner les moyens d'agir</v>
      </c>
      <c r="D24" s="769" t="s">
        <v>343</v>
      </c>
      <c r="E24" s="764">
        <f>SUM('Axe 5'!N6:N11)/SUM('Axe 5'!$L$6:$L$11)</f>
        <v>0</v>
      </c>
      <c r="F24" s="993">
        <f>AVERAGE(E24:E26)</f>
        <v>0</v>
      </c>
      <c r="G24" s="714"/>
      <c r="H24" s="764">
        <f>SUM('Axe 5'!S6:S11)/SUM('Axe 5'!$L$6:$L$11)</f>
        <v>0</v>
      </c>
      <c r="I24" s="993">
        <f>AVERAGE(H24:H26)</f>
        <v>0</v>
      </c>
      <c r="J24" s="714"/>
      <c r="K24" s="764">
        <f>SUM('Axe 5'!X6:X11)/SUM('Axe 5'!$L$6:$L$11)</f>
        <v>0</v>
      </c>
      <c r="L24" s="993">
        <f>AVERAGE(K24:K26)</f>
        <v>0</v>
      </c>
      <c r="N24" s="524">
        <f t="shared" si="6"/>
        <v>1.2</v>
      </c>
      <c r="O24" s="759">
        <f t="shared" si="0"/>
        <v>120</v>
      </c>
      <c r="P24" s="725">
        <f>'Axe 5'!K6</f>
        <v>30</v>
      </c>
      <c r="Q24" s="722">
        <v>2</v>
      </c>
      <c r="R24" s="723">
        <f>'Axe 5'!K8</f>
        <v>60</v>
      </c>
      <c r="S24" s="722">
        <v>3</v>
      </c>
      <c r="T24" s="723">
        <f>'Axe 5'!K11</f>
        <v>10</v>
      </c>
      <c r="U24" s="738">
        <v>1</v>
      </c>
      <c r="V24" s="741">
        <f t="shared" si="1"/>
        <v>18</v>
      </c>
      <c r="W24" s="740">
        <f t="shared" si="2"/>
        <v>24</v>
      </c>
      <c r="X24" s="748">
        <f t="shared" si="3"/>
        <v>12</v>
      </c>
      <c r="Y24" s="752">
        <f t="shared" si="4"/>
        <v>8.3025830258302586E-3</v>
      </c>
      <c r="Z24" s="750">
        <f t="shared" si="7"/>
        <v>1.107011070110701E-2</v>
      </c>
      <c r="AA24" s="753">
        <f t="shared" si="8"/>
        <v>5.5350553505535052E-3</v>
      </c>
    </row>
    <row r="25" spans="1:27" x14ac:dyDescent="0.25">
      <c r="A25" s="998"/>
      <c r="B25" s="170" t="s">
        <v>325</v>
      </c>
      <c r="C25" s="286" t="str">
        <f>VLOOKUP(B25,'Axe 5'!$A$6:$B$22,2,FALSE)</f>
        <v>Informer et mobiliser les collectivités infra</v>
      </c>
      <c r="D25" s="766" t="s">
        <v>345</v>
      </c>
      <c r="E25" s="761">
        <f>SUM('Axe 5'!N13:N16)/SUM('Axe 5'!$L$13:$L$16)</f>
        <v>0</v>
      </c>
      <c r="F25" s="994"/>
      <c r="G25" s="714"/>
      <c r="H25" s="761">
        <f>SUM('Axe 5'!S13:S16)/SUM('Axe 5'!$L$13:$L$16)</f>
        <v>0</v>
      </c>
      <c r="I25" s="994"/>
      <c r="J25" s="714"/>
      <c r="K25" s="761">
        <f>SUM('Axe 5'!X13:X16)/SUM('Axe 5'!$L$13:$L$16)</f>
        <v>0</v>
      </c>
      <c r="L25" s="994"/>
      <c r="N25" s="521">
        <f t="shared" si="6"/>
        <v>0.8</v>
      </c>
      <c r="O25" s="759">
        <f t="shared" si="0"/>
        <v>80</v>
      </c>
      <c r="P25" s="725">
        <f>'Axe 5'!K13</f>
        <v>30</v>
      </c>
      <c r="Q25" s="722">
        <v>1</v>
      </c>
      <c r="R25" s="723">
        <f>'Axe 5'!K14</f>
        <v>40</v>
      </c>
      <c r="S25" s="722">
        <v>2</v>
      </c>
      <c r="T25" s="723">
        <f>'Axe 5'!K16</f>
        <v>30</v>
      </c>
      <c r="U25" s="738">
        <v>1</v>
      </c>
      <c r="V25" s="741">
        <f t="shared" si="1"/>
        <v>24</v>
      </c>
      <c r="W25" s="740">
        <f t="shared" si="2"/>
        <v>16</v>
      </c>
      <c r="X25" s="748">
        <f t="shared" si="3"/>
        <v>24</v>
      </c>
      <c r="Y25" s="752">
        <f t="shared" si="4"/>
        <v>1.107011070110701E-2</v>
      </c>
      <c r="Z25" s="750">
        <f t="shared" si="7"/>
        <v>7.3800738007380072E-3</v>
      </c>
      <c r="AA25" s="753">
        <f t="shared" si="8"/>
        <v>1.107011070110701E-2</v>
      </c>
    </row>
    <row r="26" spans="1:27" ht="15.75" thickBot="1" x14ac:dyDescent="0.3">
      <c r="A26" s="1000"/>
      <c r="B26" s="171" t="s">
        <v>332</v>
      </c>
      <c r="C26" s="288" t="str">
        <f>VLOOKUP(B26,'Axe 5'!$A$6:$B$22,2,FALSE)</f>
        <v>Informer et mobiliser les acteurs économiques et leurs relais</v>
      </c>
      <c r="D26" s="768" t="s">
        <v>343</v>
      </c>
      <c r="E26" s="763">
        <f>SUM('Axe 5'!N18:N24)/SUM('Axe 5'!$L$18:$L$24)</f>
        <v>0</v>
      </c>
      <c r="F26" s="995"/>
      <c r="G26" s="714"/>
      <c r="H26" s="763">
        <f>SUM('Axe 5'!S18:S24)/SUM('Axe 5'!$L$18:$L$24)</f>
        <v>0</v>
      </c>
      <c r="I26" s="995"/>
      <c r="J26" s="714"/>
      <c r="K26" s="763">
        <f>SUM('Axe 5'!X18:X24)/SUM('Axe 5'!$L$18:$L$24)</f>
        <v>0</v>
      </c>
      <c r="L26" s="995"/>
      <c r="N26" s="523">
        <f t="shared" si="6"/>
        <v>1.2</v>
      </c>
      <c r="O26" s="759">
        <f t="shared" si="0"/>
        <v>120</v>
      </c>
      <c r="P26" s="726">
        <f>'Axe 5'!K18</f>
        <v>30</v>
      </c>
      <c r="Q26" s="727">
        <v>3</v>
      </c>
      <c r="R26" s="728">
        <f>'Axe 5'!K21</f>
        <v>60</v>
      </c>
      <c r="S26" s="727">
        <f>IF(Préambule!E45="Non",2,3)</f>
        <v>3</v>
      </c>
      <c r="T26" s="728">
        <f>'Axe 5'!K24</f>
        <v>10</v>
      </c>
      <c r="U26" s="739">
        <v>1</v>
      </c>
      <c r="V26" s="742">
        <f t="shared" si="1"/>
        <v>12</v>
      </c>
      <c r="W26" s="743">
        <f t="shared" si="2"/>
        <v>24</v>
      </c>
      <c r="X26" s="749">
        <f t="shared" si="3"/>
        <v>12</v>
      </c>
      <c r="Y26" s="754">
        <f t="shared" si="4"/>
        <v>5.5350553505535052E-3</v>
      </c>
      <c r="Z26" s="755">
        <f t="shared" si="7"/>
        <v>1.107011070110701E-2</v>
      </c>
      <c r="AA26" s="756">
        <f t="shared" si="8"/>
        <v>5.5350553505535052E-3</v>
      </c>
    </row>
    <row r="27" spans="1:27" x14ac:dyDescent="0.25">
      <c r="E27" s="49"/>
      <c r="F27" s="49"/>
      <c r="G27" s="49"/>
      <c r="H27" s="49"/>
      <c r="I27" s="49"/>
      <c r="J27" s="49"/>
      <c r="K27" s="49"/>
      <c r="L27" s="49"/>
      <c r="M27" s="49"/>
      <c r="O27" s="440"/>
    </row>
    <row r="28" spans="1:27" s="21" customFormat="1" ht="45" x14ac:dyDescent="0.25">
      <c r="A28" s="716"/>
      <c r="E28" s="720" t="s">
        <v>938</v>
      </c>
      <c r="F28" s="419">
        <f>IF(AND(Préambule!E43="Oui",Préambule!E45="Oui"),AVERAGE('Note finale'!E5:E22,'Note finale'!E24:E26),IF(AND(Préambule!E43="Oui",Préambule!E45="Non"),AVERAGE(E5:E16,E18:E22,E24:E26),AVERAGE(E5:E26)))</f>
        <v>0</v>
      </c>
      <c r="G28" s="419"/>
      <c r="H28" s="720" t="s">
        <v>939</v>
      </c>
      <c r="I28" s="419">
        <f>IF(AND(Préambule!H43="Oui",Préambule!H45="Oui"),AVERAGE('Note finale'!H5:H22,'Note finale'!H24:H26),IF(AND(Préambule!H43="Oui",Préambule!H45="Non"),AVERAGE(H5:H16,H18:H22,H24:H26),AVERAGE(H5:H26)))</f>
        <v>0</v>
      </c>
      <c r="J28" s="419"/>
      <c r="K28" s="720" t="s">
        <v>940</v>
      </c>
      <c r="L28" s="419">
        <f>IF(AND(Préambule!K43="Oui",Préambule!K45="Oui"),AVERAGE('Note finale'!K5:K22,'Note finale'!K24:K26),IF(AND(Préambule!K43="Oui",Préambule!K45="Non"),AVERAGE(K5:K16,K18:K22,K24:K26),AVERAGE(K5:K26)))</f>
        <v>0</v>
      </c>
      <c r="U28" s="783" t="s">
        <v>944</v>
      </c>
      <c r="V28" s="784">
        <f>SUMPRODUCT(Q5:Q26,V5:V26)</f>
        <v>578</v>
      </c>
      <c r="W28" s="784">
        <f>SUMPRODUCT(S5:S26,W5:W26)</f>
        <v>1274</v>
      </c>
      <c r="X28" s="784">
        <f>SUMPRODUCT(U5:U26,X5:X26)</f>
        <v>316</v>
      </c>
    </row>
    <row r="29" spans="1:27" s="21" customFormat="1" x14ac:dyDescent="0.25">
      <c r="A29" s="716"/>
    </row>
    <row r="30" spans="1:27" s="21" customFormat="1" x14ac:dyDescent="0.25">
      <c r="A30" s="716"/>
    </row>
    <row r="31" spans="1:27" s="21" customFormat="1" x14ac:dyDescent="0.25">
      <c r="A31" s="716"/>
      <c r="E31" s="419"/>
      <c r="M31" s="417"/>
    </row>
    <row r="32" spans="1:27" s="21" customFormat="1" x14ac:dyDescent="0.25">
      <c r="A32" s="716"/>
      <c r="M32" s="417"/>
      <c r="V32" s="717"/>
    </row>
    <row r="33" spans="1:19" s="21" customFormat="1" x14ac:dyDescent="0.25">
      <c r="A33" s="716"/>
      <c r="M33" s="417"/>
    </row>
    <row r="34" spans="1:19" s="21" customFormat="1" x14ac:dyDescent="0.25">
      <c r="A34" s="716"/>
      <c r="F34" s="417"/>
      <c r="G34" s="417"/>
      <c r="H34" s="417"/>
      <c r="I34" s="417"/>
      <c r="J34" s="417"/>
      <c r="K34" s="417"/>
      <c r="L34" s="417"/>
      <c r="M34" s="417"/>
    </row>
    <row r="35" spans="1:19" s="21" customFormat="1" x14ac:dyDescent="0.25">
      <c r="A35" s="716"/>
      <c r="M35" s="417"/>
    </row>
    <row r="36" spans="1:19" s="21" customFormat="1" x14ac:dyDescent="0.25">
      <c r="A36" s="716"/>
      <c r="Q36" s="757"/>
    </row>
    <row r="37" spans="1:19" s="21" customFormat="1" x14ac:dyDescent="0.25">
      <c r="A37" s="716"/>
    </row>
    <row r="38" spans="1:19" s="21" customFormat="1" x14ac:dyDescent="0.25">
      <c r="A38" s="716"/>
      <c r="S38" s="417"/>
    </row>
    <row r="39" spans="1:19" s="21" customFormat="1" x14ac:dyDescent="0.25">
      <c r="A39" s="716"/>
      <c r="P39" s="418"/>
    </row>
    <row r="40" spans="1:19" s="21" customFormat="1" x14ac:dyDescent="0.25">
      <c r="A40" s="716"/>
    </row>
    <row r="41" spans="1:19" s="21" customFormat="1" x14ac:dyDescent="0.25">
      <c r="A41" s="716"/>
      <c r="Q41" s="417"/>
    </row>
    <row r="42" spans="1:19" s="21" customFormat="1" x14ac:dyDescent="0.25">
      <c r="A42" s="716"/>
    </row>
    <row r="43" spans="1:19" x14ac:dyDescent="0.25">
      <c r="C43" s="718" t="s">
        <v>339</v>
      </c>
      <c r="D43" s="404" t="s">
        <v>935</v>
      </c>
      <c r="E43" s="404" t="s">
        <v>936</v>
      </c>
      <c r="F43" s="404" t="s">
        <v>937</v>
      </c>
      <c r="G43" s="21"/>
      <c r="H43" s="21"/>
      <c r="I43" s="21"/>
      <c r="J43" s="21"/>
      <c r="K43" s="21"/>
      <c r="L43" s="21"/>
      <c r="M43" s="21"/>
      <c r="N43" s="21"/>
      <c r="P43" s="21"/>
      <c r="Q43" s="21"/>
      <c r="R43" s="21"/>
    </row>
    <row r="44" spans="1:19" x14ac:dyDescent="0.25">
      <c r="C44" s="404">
        <v>1</v>
      </c>
      <c r="D44" s="719">
        <f>F5</f>
        <v>0</v>
      </c>
      <c r="E44" s="719">
        <f>I5</f>
        <v>0</v>
      </c>
      <c r="F44" s="719">
        <f>L5</f>
        <v>0</v>
      </c>
      <c r="G44" s="21"/>
      <c r="H44" s="21"/>
      <c r="I44" s="21"/>
      <c r="J44" s="21"/>
      <c r="K44" s="21"/>
      <c r="L44" s="21"/>
      <c r="M44" s="21"/>
      <c r="N44" s="21"/>
      <c r="P44" s="21"/>
      <c r="Q44" s="21"/>
      <c r="R44" s="21"/>
    </row>
    <row r="45" spans="1:19" x14ac:dyDescent="0.25">
      <c r="C45" s="404">
        <v>2</v>
      </c>
      <c r="D45" s="719">
        <f>F9</f>
        <v>0</v>
      </c>
      <c r="E45" s="719">
        <f>I9</f>
        <v>0</v>
      </c>
      <c r="F45" s="719">
        <f>L9</f>
        <v>0</v>
      </c>
      <c r="G45" s="21"/>
      <c r="H45" s="21"/>
      <c r="I45" s="21"/>
      <c r="J45" s="21"/>
      <c r="K45" s="21"/>
      <c r="L45" s="21"/>
      <c r="M45" s="21"/>
      <c r="N45" s="21"/>
      <c r="P45" s="21"/>
      <c r="Q45" s="21"/>
      <c r="R45" s="21"/>
    </row>
    <row r="46" spans="1:19" x14ac:dyDescent="0.25">
      <c r="C46" s="404">
        <v>3</v>
      </c>
      <c r="D46" s="719">
        <f>F14</f>
        <v>0</v>
      </c>
      <c r="E46" s="719">
        <f>I14</f>
        <v>0</v>
      </c>
      <c r="F46" s="719">
        <f>L14</f>
        <v>0</v>
      </c>
      <c r="G46" s="21"/>
      <c r="H46" s="21"/>
      <c r="I46" s="21"/>
      <c r="J46" s="21"/>
      <c r="K46" s="21"/>
      <c r="L46" s="21"/>
      <c r="M46" s="21"/>
      <c r="N46" s="21"/>
      <c r="P46" s="21"/>
      <c r="Q46" s="21"/>
      <c r="R46" s="21"/>
    </row>
    <row r="47" spans="1:19" x14ac:dyDescent="0.25">
      <c r="C47" s="404">
        <v>4</v>
      </c>
      <c r="D47" s="719">
        <f>F21</f>
        <v>0</v>
      </c>
      <c r="E47" s="719">
        <f>I21</f>
        <v>0</v>
      </c>
      <c r="F47" s="719">
        <f>L21</f>
        <v>0</v>
      </c>
      <c r="G47" s="21"/>
      <c r="H47" s="21"/>
      <c r="I47" s="21"/>
      <c r="J47" s="21"/>
      <c r="K47" s="21"/>
      <c r="L47" s="21"/>
      <c r="M47" s="21"/>
      <c r="N47" s="21"/>
      <c r="P47" s="21"/>
      <c r="Q47" s="21"/>
      <c r="R47" s="21"/>
    </row>
    <row r="48" spans="1:19" x14ac:dyDescent="0.25">
      <c r="C48" s="404">
        <v>5</v>
      </c>
      <c r="D48" s="719">
        <f>F24</f>
        <v>0</v>
      </c>
      <c r="E48" s="719">
        <f>I24</f>
        <v>0</v>
      </c>
      <c r="F48" s="719">
        <f>L24</f>
        <v>0</v>
      </c>
      <c r="G48" s="21"/>
      <c r="H48" s="21"/>
      <c r="I48" s="21"/>
      <c r="J48" s="21"/>
      <c r="K48" s="21"/>
      <c r="L48" s="21"/>
      <c r="M48" s="21"/>
      <c r="N48" s="21"/>
      <c r="P48" s="21"/>
      <c r="Q48" s="21"/>
      <c r="R48" s="21"/>
    </row>
    <row r="49" spans="3:18" x14ac:dyDescent="0.25">
      <c r="C49" s="21"/>
      <c r="D49" s="21"/>
      <c r="E49" s="21"/>
      <c r="F49" s="21"/>
      <c r="G49" s="21"/>
      <c r="H49" s="21"/>
      <c r="I49" s="21"/>
      <c r="J49" s="21"/>
      <c r="K49" s="21"/>
      <c r="L49" s="21"/>
      <c r="M49" s="21"/>
      <c r="N49" s="21"/>
      <c r="P49" s="21"/>
      <c r="Q49" s="21"/>
      <c r="R49" s="21"/>
    </row>
    <row r="50" spans="3:18" x14ac:dyDescent="0.25">
      <c r="C50" s="21"/>
      <c r="D50" s="21"/>
      <c r="E50" s="21"/>
      <c r="F50" s="21"/>
      <c r="G50" s="21"/>
      <c r="H50" s="21"/>
      <c r="I50" s="21"/>
      <c r="J50" s="21"/>
      <c r="K50" s="21"/>
      <c r="L50" s="21"/>
      <c r="M50" s="21"/>
      <c r="N50" s="21"/>
      <c r="P50" s="21"/>
      <c r="Q50" s="21"/>
      <c r="R50" s="21"/>
    </row>
    <row r="51" spans="3:18" x14ac:dyDescent="0.25">
      <c r="C51" s="21"/>
      <c r="D51" s="21"/>
      <c r="P51" s="21"/>
      <c r="Q51" s="21"/>
      <c r="R51" s="21"/>
    </row>
  </sheetData>
  <sheetProtection algorithmName="SHA-512" hashValue="Amy0FgWJZ5xZqt60KkzJweZBn/uuvy1w6ujfQgz8RASNi3NqrIxhutyAgs9PxXGSBQZyTqoivO7S/HL/6YXNjg==" saltValue="ok/Iem2wp52dFEiOOHm5PA==" spinCount="100000" sheet="1" selectLockedCells="1" selectUnlockedCells="1"/>
  <mergeCells count="26">
    <mergeCell ref="A14:A20"/>
    <mergeCell ref="A21:A23"/>
    <mergeCell ref="A24:A26"/>
    <mergeCell ref="P2:U2"/>
    <mergeCell ref="V2:X2"/>
    <mergeCell ref="K2:L2"/>
    <mergeCell ref="L5:L8"/>
    <mergeCell ref="L9:L13"/>
    <mergeCell ref="A5:A8"/>
    <mergeCell ref="A9:A13"/>
    <mergeCell ref="L14:L20"/>
    <mergeCell ref="L21:L23"/>
    <mergeCell ref="L24:L26"/>
    <mergeCell ref="Y2:AA2"/>
    <mergeCell ref="F5:F8"/>
    <mergeCell ref="F9:F13"/>
    <mergeCell ref="F14:F20"/>
    <mergeCell ref="F24:F26"/>
    <mergeCell ref="F21:F23"/>
    <mergeCell ref="E2:F2"/>
    <mergeCell ref="H2:I2"/>
    <mergeCell ref="I5:I8"/>
    <mergeCell ref="I9:I13"/>
    <mergeCell ref="I14:I20"/>
    <mergeCell ref="I21:I23"/>
    <mergeCell ref="I24:I26"/>
  </mergeCells>
  <conditionalFormatting sqref="V5:X26">
    <cfRule type="cellIs" dxfId="4" priority="2" operator="equal">
      <formula>0</formula>
    </cfRule>
    <cfRule type="cellIs" dxfId="3" priority="5" operator="lessThan">
      <formula>5</formula>
    </cfRule>
    <cfRule type="aboveAverage" dxfId="2" priority="6"/>
  </conditionalFormatting>
  <conditionalFormatting sqref="Y5:AA26">
    <cfRule type="cellIs" dxfId="1" priority="1" operator="equal">
      <formula>0</formula>
    </cfRule>
    <cfRule type="cellIs" dxfId="0" priority="4" operator="greaterThan">
      <formula>0.01</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3"/>
  <sheetViews>
    <sheetView showGridLines="0" zoomScale="80" zoomScaleNormal="80" workbookViewId="0"/>
  </sheetViews>
  <sheetFormatPr baseColWidth="10" defaultColWidth="35.42578125" defaultRowHeight="15" x14ac:dyDescent="0.25"/>
  <cols>
    <col min="1" max="1" width="6" style="71" bestFit="1" customWidth="1"/>
    <col min="2" max="2" width="28.28515625" style="199" customWidth="1"/>
    <col min="3" max="3" width="69.5703125" style="199" customWidth="1"/>
    <col min="4" max="4" width="100.7109375" style="199" customWidth="1"/>
    <col min="5" max="5" width="57.5703125" style="199" customWidth="1"/>
    <col min="6" max="16384" width="35.42578125" style="199"/>
  </cols>
  <sheetData>
    <row r="1" spans="1:5" ht="38.25" customHeight="1" x14ac:dyDescent="0.25">
      <c r="A1" s="202" t="s">
        <v>339</v>
      </c>
      <c r="B1" s="203" t="s">
        <v>59</v>
      </c>
      <c r="C1" s="203" t="s">
        <v>346</v>
      </c>
      <c r="D1" s="203" t="s">
        <v>35</v>
      </c>
      <c r="E1" s="204" t="s">
        <v>347</v>
      </c>
    </row>
    <row r="2" spans="1:5" ht="45" x14ac:dyDescent="0.25">
      <c r="A2" s="205">
        <v>2</v>
      </c>
      <c r="B2" s="200" t="s">
        <v>348</v>
      </c>
      <c r="C2" s="200" t="s">
        <v>94</v>
      </c>
      <c r="D2" s="200" t="s">
        <v>349</v>
      </c>
      <c r="E2" s="207" t="s">
        <v>350</v>
      </c>
    </row>
    <row r="3" spans="1:5" ht="45" x14ac:dyDescent="0.25">
      <c r="A3" s="205">
        <v>2</v>
      </c>
      <c r="B3" s="200" t="s">
        <v>351</v>
      </c>
      <c r="C3" s="200" t="s">
        <v>106</v>
      </c>
      <c r="D3" s="200" t="s">
        <v>352</v>
      </c>
      <c r="E3" s="207"/>
    </row>
    <row r="4" spans="1:5" ht="45" x14ac:dyDescent="0.25">
      <c r="A4" s="205">
        <v>2</v>
      </c>
      <c r="B4" s="200" t="s">
        <v>351</v>
      </c>
      <c r="C4" s="200" t="s">
        <v>626</v>
      </c>
      <c r="D4" s="200" t="s">
        <v>627</v>
      </c>
      <c r="E4" s="207"/>
    </row>
    <row r="5" spans="1:5" ht="195" x14ac:dyDescent="0.25">
      <c r="A5" s="205">
        <v>2</v>
      </c>
      <c r="B5" s="200" t="s">
        <v>351</v>
      </c>
      <c r="C5" s="200" t="s">
        <v>108</v>
      </c>
      <c r="D5" s="200" t="s">
        <v>353</v>
      </c>
      <c r="E5" s="207" t="s">
        <v>354</v>
      </c>
    </row>
    <row r="6" spans="1:5" ht="105" x14ac:dyDescent="0.25">
      <c r="A6" s="205">
        <v>2</v>
      </c>
      <c r="B6" s="200" t="s">
        <v>351</v>
      </c>
      <c r="C6" s="200" t="s">
        <v>109</v>
      </c>
      <c r="D6" s="200" t="s">
        <v>355</v>
      </c>
      <c r="E6" s="207" t="s">
        <v>356</v>
      </c>
    </row>
    <row r="7" spans="1:5" s="239" customFormat="1" ht="63.75" x14ac:dyDescent="0.25">
      <c r="A7" s="255">
        <v>2</v>
      </c>
      <c r="B7" s="256" t="s">
        <v>351</v>
      </c>
      <c r="C7" s="248" t="s">
        <v>396</v>
      </c>
      <c r="D7" s="256" t="s">
        <v>545</v>
      </c>
      <c r="E7" s="257" t="s">
        <v>544</v>
      </c>
    </row>
    <row r="8" spans="1:5" ht="75" x14ac:dyDescent="0.25">
      <c r="A8" s="205">
        <v>2</v>
      </c>
      <c r="B8" s="200" t="s">
        <v>357</v>
      </c>
      <c r="C8" s="200" t="s">
        <v>120</v>
      </c>
      <c r="D8" s="200" t="s">
        <v>358</v>
      </c>
      <c r="E8" s="207" t="s">
        <v>359</v>
      </c>
    </row>
    <row r="9" spans="1:5" ht="390" x14ac:dyDescent="0.25">
      <c r="A9" s="205">
        <v>3</v>
      </c>
      <c r="B9" s="200" t="s">
        <v>360</v>
      </c>
      <c r="C9" s="200" t="s">
        <v>173</v>
      </c>
      <c r="D9" s="200" t="s">
        <v>361</v>
      </c>
      <c r="E9" s="207"/>
    </row>
    <row r="10" spans="1:5" ht="45" x14ac:dyDescent="0.25">
      <c r="A10" s="205">
        <v>3</v>
      </c>
      <c r="B10" s="200" t="s">
        <v>652</v>
      </c>
      <c r="C10" s="200" t="s">
        <v>184</v>
      </c>
      <c r="D10" s="200" t="s">
        <v>362</v>
      </c>
      <c r="E10" s="207" t="s">
        <v>363</v>
      </c>
    </row>
    <row r="11" spans="1:5" ht="105" x14ac:dyDescent="0.25">
      <c r="A11" s="205">
        <v>3</v>
      </c>
      <c r="B11" s="200" t="s">
        <v>652</v>
      </c>
      <c r="C11" s="200" t="s">
        <v>186</v>
      </c>
      <c r="D11" s="200" t="s">
        <v>362</v>
      </c>
      <c r="E11" s="207" t="s">
        <v>364</v>
      </c>
    </row>
    <row r="12" spans="1:5" ht="45" x14ac:dyDescent="0.25">
      <c r="A12" s="292">
        <v>3</v>
      </c>
      <c r="B12" s="200" t="s">
        <v>652</v>
      </c>
      <c r="C12" s="293" t="s">
        <v>651</v>
      </c>
      <c r="D12" s="293" t="s">
        <v>654</v>
      </c>
      <c r="E12" s="294" t="s">
        <v>653</v>
      </c>
    </row>
    <row r="13" spans="1:5" ht="75" x14ac:dyDescent="0.25">
      <c r="A13" s="206">
        <v>4</v>
      </c>
      <c r="B13" s="201" t="s">
        <v>365</v>
      </c>
      <c r="C13" s="201" t="s">
        <v>309</v>
      </c>
      <c r="D13" s="201" t="s">
        <v>366</v>
      </c>
      <c r="E13" s="208" t="s">
        <v>367</v>
      </c>
    </row>
  </sheetData>
  <sheetProtection algorithmName="SHA-512" hashValue="EYf1/E0yOmOor2Zj2JOQrH3+pZNnCUEz/Ik2G5Gcpo2eZILfwEFxVLh2YEL6K7m5J0vMe0fJCKjUg7HTdw7tXA==" saltValue="FByG7uF6NPXmkJO8hgUUWQ==" spinCount="100000" sheet="1" objects="1" scenarios="1" selectLockedCells="1" selectUnlockedCell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8"/>
  <sheetViews>
    <sheetView showGridLines="0" zoomScale="90" zoomScaleNormal="90" workbookViewId="0"/>
  </sheetViews>
  <sheetFormatPr baseColWidth="10" defaultRowHeight="15" x14ac:dyDescent="0.25"/>
  <cols>
    <col min="2" max="2" width="70.28515625" style="175" customWidth="1"/>
  </cols>
  <sheetData>
    <row r="1" spans="1:2" x14ac:dyDescent="0.25">
      <c r="A1" s="236"/>
    </row>
    <row r="2" spans="1:2" x14ac:dyDescent="0.25">
      <c r="A2" s="254" t="s">
        <v>542</v>
      </c>
      <c r="B2" s="165" t="s">
        <v>543</v>
      </c>
    </row>
    <row r="3" spans="1:2" x14ac:dyDescent="0.25">
      <c r="A3" s="176"/>
    </row>
    <row r="4" spans="1:2" x14ac:dyDescent="0.25">
      <c r="A4" s="237"/>
    </row>
    <row r="5" spans="1:2" ht="15.75" x14ac:dyDescent="0.25">
      <c r="A5" s="234" t="s">
        <v>370</v>
      </c>
    </row>
    <row r="6" spans="1:2" ht="15.75" x14ac:dyDescent="0.25">
      <c r="A6" s="234"/>
      <c r="B6" s="175" t="s">
        <v>372</v>
      </c>
    </row>
    <row r="7" spans="1:2" x14ac:dyDescent="0.25">
      <c r="B7" s="175" t="s">
        <v>371</v>
      </c>
    </row>
    <row r="8" spans="1:2" x14ac:dyDescent="0.25">
      <c r="B8" s="175" t="s">
        <v>373</v>
      </c>
    </row>
    <row r="9" spans="1:2" x14ac:dyDescent="0.25">
      <c r="B9" s="175" t="s">
        <v>378</v>
      </c>
    </row>
    <row r="10" spans="1:2" x14ac:dyDescent="0.25">
      <c r="B10" s="175" t="s">
        <v>379</v>
      </c>
    </row>
    <row r="11" spans="1:2" x14ac:dyDescent="0.25">
      <c r="B11" s="175" t="s">
        <v>381</v>
      </c>
    </row>
    <row r="12" spans="1:2" x14ac:dyDescent="0.25">
      <c r="B12" s="175" t="s">
        <v>382</v>
      </c>
    </row>
    <row r="13" spans="1:2" x14ac:dyDescent="0.25">
      <c r="B13" s="264" t="s">
        <v>386</v>
      </c>
    </row>
    <row r="14" spans="1:2" x14ac:dyDescent="0.25">
      <c r="B14" s="265" t="s">
        <v>389</v>
      </c>
    </row>
    <row r="16" spans="1:2" ht="15.75" x14ac:dyDescent="0.25">
      <c r="A16" s="234" t="s">
        <v>375</v>
      </c>
    </row>
    <row r="17" spans="1:3" x14ac:dyDescent="0.25">
      <c r="B17" s="264" t="s">
        <v>376</v>
      </c>
      <c r="C17" s="235"/>
    </row>
    <row r="18" spans="1:3" x14ac:dyDescent="0.25">
      <c r="B18" s="264" t="s">
        <v>377</v>
      </c>
      <c r="C18" s="235"/>
    </row>
    <row r="19" spans="1:3" x14ac:dyDescent="0.25">
      <c r="B19" s="264" t="s">
        <v>380</v>
      </c>
      <c r="C19" s="235"/>
    </row>
    <row r="20" spans="1:3" x14ac:dyDescent="0.25">
      <c r="B20" s="264" t="s">
        <v>383</v>
      </c>
      <c r="C20" s="235"/>
    </row>
    <row r="22" spans="1:3" ht="15.75" x14ac:dyDescent="0.25">
      <c r="A22" s="234" t="s">
        <v>374</v>
      </c>
    </row>
    <row r="23" spans="1:3" x14ac:dyDescent="0.25">
      <c r="B23" s="264" t="s">
        <v>535</v>
      </c>
    </row>
    <row r="24" spans="1:3" x14ac:dyDescent="0.25">
      <c r="B24" s="264" t="s">
        <v>536</v>
      </c>
    </row>
    <row r="25" spans="1:3" x14ac:dyDescent="0.25">
      <c r="B25" s="264" t="s">
        <v>537</v>
      </c>
    </row>
    <row r="27" spans="1:3" ht="15.75" x14ac:dyDescent="0.25">
      <c r="A27" s="234" t="s">
        <v>384</v>
      </c>
    </row>
    <row r="28" spans="1:3" x14ac:dyDescent="0.25">
      <c r="B28" s="266" t="s">
        <v>539</v>
      </c>
    </row>
    <row r="29" spans="1:3" x14ac:dyDescent="0.25">
      <c r="B29" s="267" t="s">
        <v>540</v>
      </c>
    </row>
    <row r="30" spans="1:3" x14ac:dyDescent="0.25">
      <c r="B30" s="267" t="s">
        <v>541</v>
      </c>
    </row>
    <row r="32" spans="1:3" ht="15.75" x14ac:dyDescent="0.25">
      <c r="A32" s="234" t="s">
        <v>390</v>
      </c>
    </row>
    <row r="33" spans="1:2" x14ac:dyDescent="0.25">
      <c r="B33" s="264" t="s">
        <v>538</v>
      </c>
    </row>
    <row r="36" spans="1:2" x14ac:dyDescent="0.25">
      <c r="A36" t="s">
        <v>906</v>
      </c>
    </row>
    <row r="37" spans="1:2" x14ac:dyDescent="0.25">
      <c r="B37" s="175" t="s">
        <v>908</v>
      </c>
    </row>
    <row r="38" spans="1:2" x14ac:dyDescent="0.25">
      <c r="B38" s="235" t="s">
        <v>907</v>
      </c>
    </row>
  </sheetData>
  <sheetProtection algorithmName="SHA-512" hashValue="DmR+aBsASxEVmuS86KrMW6cWZWYI0DhXfMwmOfqF4qzlAcjphZcOcuUZuCVCygzbACOljZT1ZoXmHM3w2O8V2A==" saltValue="91Sd2QjrwWKS4i1PFF/KWA==" spinCount="100000" sheet="1" objects="1" scenarios="1" insertHyperlinks="0" selectLockedCells="1" selectUnlockedCells="1"/>
  <hyperlinks>
    <hyperlink ref="B13" r:id="rId1"/>
    <hyperlink ref="B17" r:id="rId2"/>
    <hyperlink ref="B18" r:id="rId3"/>
    <hyperlink ref="B19" r:id="rId4"/>
    <hyperlink ref="B20" r:id="rId5"/>
    <hyperlink ref="B23" r:id="rId6"/>
    <hyperlink ref="B24" r:id="rId7"/>
    <hyperlink ref="B25" r:id="rId8"/>
    <hyperlink ref="B29" r:id="rId9" display="- Guide achat de l'ADEME"/>
    <hyperlink ref="B30" r:id="rId10" display="- Vidéo consomag "/>
    <hyperlink ref="B33" r:id="rId11"/>
    <hyperlink ref="B38"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Z30"/>
  <sheetViews>
    <sheetView showGridLines="0" topLeftCell="A25" zoomScale="80" zoomScaleNormal="80" workbookViewId="0">
      <selection activeCell="P9" sqref="P9"/>
    </sheetView>
  </sheetViews>
  <sheetFormatPr baseColWidth="10" defaultColWidth="11.42578125" defaultRowHeight="15" x14ac:dyDescent="0.25"/>
  <cols>
    <col min="1" max="1" width="4.42578125" style="1" bestFit="1" customWidth="1"/>
    <col min="2" max="2" width="24.28515625" style="1" customWidth="1"/>
    <col min="3" max="3" width="38.85546875" style="1" customWidth="1"/>
    <col min="4" max="4" width="3.5703125" style="397" customWidth="1"/>
    <col min="5" max="5" width="10.28515625" style="412" bestFit="1" customWidth="1"/>
    <col min="6" max="6" width="13" style="21" customWidth="1"/>
    <col min="7" max="7" width="74.28515625" style="1" customWidth="1"/>
    <col min="8" max="8" width="44" style="1" customWidth="1"/>
    <col min="9" max="9" width="40.5703125" style="1" customWidth="1"/>
    <col min="10" max="10" width="3.5703125" style="1" customWidth="1"/>
    <col min="11" max="11" width="12" style="1" customWidth="1"/>
    <col min="12" max="12" width="12" style="1" hidden="1" customWidth="1"/>
    <col min="13" max="13" width="13.7109375" style="1" customWidth="1"/>
    <col min="14" max="14" width="17.7109375" style="50" hidden="1" customWidth="1"/>
    <col min="15" max="15" width="37.140625" style="1" customWidth="1"/>
    <col min="16" max="16" width="13.7109375" style="1" customWidth="1"/>
    <col min="17" max="17" width="3" style="1" customWidth="1"/>
    <col min="18" max="18" width="13.7109375" style="1" customWidth="1"/>
    <col min="19" max="19" width="17.7109375" style="50" hidden="1" customWidth="1"/>
    <col min="20" max="20" width="37.140625" style="1" customWidth="1"/>
    <col min="21" max="21" width="13.7109375" style="1" customWidth="1"/>
    <col min="22" max="22" width="3" style="1" customWidth="1"/>
    <col min="23" max="23" width="13.7109375" style="1" customWidth="1"/>
    <col min="24" max="24" width="17.7109375" style="50" hidden="1" customWidth="1"/>
    <col min="25" max="25" width="37.140625" style="1" customWidth="1"/>
    <col min="26" max="26" width="13.7109375" style="1" customWidth="1"/>
    <col min="27" max="16384" width="11.42578125" style="1"/>
  </cols>
  <sheetData>
    <row r="1" spans="1:26" ht="18.75" x14ac:dyDescent="0.2">
      <c r="A1" s="841" t="s">
        <v>58</v>
      </c>
      <c r="B1" s="841"/>
      <c r="C1" s="841"/>
      <c r="D1" s="841"/>
      <c r="E1" s="841"/>
      <c r="F1" s="841"/>
      <c r="G1" s="841"/>
      <c r="H1" s="841"/>
      <c r="I1" s="841"/>
      <c r="J1" s="841"/>
      <c r="K1" s="841"/>
      <c r="L1" s="841"/>
      <c r="M1" s="841"/>
      <c r="N1" s="841"/>
      <c r="O1" s="841"/>
      <c r="P1" s="526"/>
      <c r="Q1" s="526"/>
      <c r="R1" s="526"/>
      <c r="S1" s="526"/>
      <c r="T1" s="526"/>
      <c r="U1" s="526"/>
      <c r="V1" s="526"/>
      <c r="W1" s="526"/>
      <c r="X1" s="526"/>
      <c r="Y1" s="526"/>
      <c r="Z1" s="526"/>
    </row>
    <row r="3" spans="1:26" ht="30" customHeight="1" x14ac:dyDescent="0.2">
      <c r="B3" s="839" t="s">
        <v>59</v>
      </c>
      <c r="C3" s="839" t="s">
        <v>60</v>
      </c>
      <c r="D3" s="395"/>
      <c r="E3" s="835" t="s">
        <v>889</v>
      </c>
      <c r="F3" s="835"/>
      <c r="G3" s="835"/>
      <c r="H3" s="835"/>
      <c r="I3" s="835"/>
      <c r="J3" s="2"/>
      <c r="L3" s="525"/>
      <c r="M3" s="835" t="s">
        <v>920</v>
      </c>
      <c r="N3" s="835"/>
      <c r="O3" s="835"/>
      <c r="P3" s="835"/>
      <c r="R3" s="835" t="s">
        <v>921</v>
      </c>
      <c r="S3" s="835"/>
      <c r="T3" s="835"/>
      <c r="U3" s="835"/>
      <c r="W3" s="835" t="s">
        <v>924</v>
      </c>
      <c r="X3" s="835"/>
      <c r="Y3" s="835"/>
      <c r="Z3" s="835"/>
    </row>
    <row r="4" spans="1:26" ht="51" x14ac:dyDescent="0.2">
      <c r="B4" s="839"/>
      <c r="C4" s="839"/>
      <c r="D4" s="395"/>
      <c r="E4" s="98" t="s">
        <v>902</v>
      </c>
      <c r="F4" s="98" t="s">
        <v>61</v>
      </c>
      <c r="G4" s="76" t="s">
        <v>62</v>
      </c>
      <c r="H4" s="76" t="s">
        <v>63</v>
      </c>
      <c r="I4" s="76" t="s">
        <v>916</v>
      </c>
      <c r="J4" s="3"/>
      <c r="K4" s="75" t="s">
        <v>915</v>
      </c>
      <c r="L4" s="75" t="s">
        <v>673</v>
      </c>
      <c r="M4" s="424" t="s">
        <v>918</v>
      </c>
      <c r="N4" s="75" t="s">
        <v>896</v>
      </c>
      <c r="O4" s="75" t="s">
        <v>917</v>
      </c>
      <c r="P4" s="424" t="s">
        <v>919</v>
      </c>
      <c r="R4" s="424" t="s">
        <v>922</v>
      </c>
      <c r="S4" s="75" t="s">
        <v>896</v>
      </c>
      <c r="T4" s="75" t="s">
        <v>917</v>
      </c>
      <c r="U4" s="424" t="s">
        <v>923</v>
      </c>
      <c r="W4" s="424" t="s">
        <v>925</v>
      </c>
      <c r="X4" s="75" t="s">
        <v>896</v>
      </c>
      <c r="Y4" s="75" t="s">
        <v>917</v>
      </c>
      <c r="Z4" s="424" t="s">
        <v>926</v>
      </c>
    </row>
    <row r="5" spans="1:26" ht="7.5" customHeight="1" x14ac:dyDescent="0.2">
      <c r="A5" s="2"/>
      <c r="B5" s="2"/>
      <c r="C5" s="2"/>
      <c r="D5" s="395"/>
      <c r="E5" s="22"/>
      <c r="F5" s="22"/>
      <c r="G5" s="3"/>
      <c r="H5" s="3"/>
      <c r="I5" s="3"/>
      <c r="J5" s="3"/>
      <c r="K5" s="2"/>
      <c r="L5" s="3"/>
      <c r="M5" s="3"/>
      <c r="P5" s="3"/>
      <c r="R5" s="3"/>
      <c r="U5" s="3"/>
      <c r="W5" s="3"/>
      <c r="Z5" s="3"/>
    </row>
    <row r="6" spans="1:26" ht="25.5" customHeight="1" x14ac:dyDescent="0.2">
      <c r="A6" s="843" t="s">
        <v>64</v>
      </c>
      <c r="B6" s="840" t="s">
        <v>65</v>
      </c>
      <c r="C6" s="849" t="s">
        <v>66</v>
      </c>
      <c r="D6" s="395">
        <v>1</v>
      </c>
      <c r="E6" s="848" t="s">
        <v>67</v>
      </c>
      <c r="F6" s="142" t="s">
        <v>68</v>
      </c>
      <c r="G6" s="527" t="s">
        <v>69</v>
      </c>
      <c r="H6" s="527" t="str">
        <f>IF(VLOOKUP(D6,'Indicateurs - en cours'!$C$5:$J$25,8,FALSE)&lt;&gt;0,VLOOKUP(D6,'Indicateurs - en cours'!$C$5:$J$25,8,FALSE),"")</f>
        <v>Un élu spécifique porte la stratégie EC</v>
      </c>
      <c r="I6" s="528"/>
      <c r="J6" s="3"/>
      <c r="K6" s="845">
        <v>10</v>
      </c>
      <c r="L6" s="421">
        <f>INDEX('Note finale'!$B$5:$AA$26,MATCH('Axe 1'!$A$6,'Note finale'!$B$5:$B$26,0),MATCH($E$6,'Note finale'!$B$4:$AA$4,0))</f>
        <v>1.3837638376383763E-3</v>
      </c>
      <c r="M6" s="496"/>
      <c r="N6" s="557">
        <f>L6*M6</f>
        <v>0</v>
      </c>
      <c r="O6" s="558"/>
      <c r="P6" s="559"/>
      <c r="R6" s="569"/>
      <c r="S6" s="557">
        <f>L6*R6</f>
        <v>0</v>
      </c>
      <c r="T6" s="558"/>
      <c r="U6" s="559"/>
      <c r="W6" s="569"/>
      <c r="X6" s="557">
        <f>L6*W6</f>
        <v>0</v>
      </c>
      <c r="Y6" s="558"/>
      <c r="Z6" s="559"/>
    </row>
    <row r="7" spans="1:26" ht="25.5" x14ac:dyDescent="0.2">
      <c r="A7" s="843"/>
      <c r="B7" s="840"/>
      <c r="C7" s="849"/>
      <c r="D7" s="395">
        <v>2</v>
      </c>
      <c r="E7" s="834"/>
      <c r="F7" s="143" t="s">
        <v>68</v>
      </c>
      <c r="G7" s="529" t="s">
        <v>71</v>
      </c>
      <c r="H7" s="530" t="str">
        <f>IF(VLOOKUP(D7,'Indicateurs - en cours'!$C$5:$J$25,8,FALSE)&lt;&gt;0,VLOOKUP(D7,'Indicateurs - en cours'!$C$5:$J$25,8,FALSE),"")</f>
        <v>Nombre d'ETP de la collectivité dédié à la mise en œuvre de la stratégie d'économie circulaire</v>
      </c>
      <c r="I7" s="531"/>
      <c r="J7" s="3"/>
      <c r="K7" s="846"/>
      <c r="L7" s="422">
        <f>INDEX('Note finale'!$B$5:$AA$26,MATCH('Axe 1'!$A$6,'Note finale'!$B$5:$B$26,0),MATCH($E$6,'Note finale'!$B$4:$AA$4,0))</f>
        <v>1.3837638376383763E-3</v>
      </c>
      <c r="M7" s="497"/>
      <c r="N7" s="560">
        <f t="shared" ref="N7:N15" si="0">L7*M7</f>
        <v>0</v>
      </c>
      <c r="O7" s="561"/>
      <c r="P7" s="562"/>
      <c r="R7" s="570"/>
      <c r="S7" s="560">
        <f t="shared" ref="S7:S29" si="1">L7*R7</f>
        <v>0</v>
      </c>
      <c r="T7" s="561"/>
      <c r="U7" s="562"/>
      <c r="W7" s="570"/>
      <c r="X7" s="560">
        <f t="shared" ref="X7:X29" si="2">L7*W7</f>
        <v>0</v>
      </c>
      <c r="Y7" s="561"/>
      <c r="Z7" s="562"/>
    </row>
    <row r="8" spans="1:26" ht="30" customHeight="1" x14ac:dyDescent="0.2">
      <c r="A8" s="843"/>
      <c r="B8" s="840"/>
      <c r="C8" s="849"/>
      <c r="D8" s="395">
        <v>3</v>
      </c>
      <c r="E8" s="834"/>
      <c r="F8" s="143" t="s">
        <v>68</v>
      </c>
      <c r="G8" s="530" t="s">
        <v>72</v>
      </c>
      <c r="H8" s="532" t="str">
        <f>IF(VLOOKUP(D8,'Indicateurs - en cours'!$C$5:$J$25,8,FALSE)&lt;&gt;0,VLOOKUP(D8,'Indicateurs - en cours'!$C$5:$J$25,8,FALSE),"")</f>
        <v/>
      </c>
      <c r="I8" s="531"/>
      <c r="J8" s="3"/>
      <c r="K8" s="846"/>
      <c r="L8" s="422">
        <f>INDEX('Note finale'!$B$5:$AA$26,MATCH('Axe 1'!$A$6,'Note finale'!$B$5:$B$26,0),MATCH($E$6,'Note finale'!$B$4:$AA$4,0))</f>
        <v>1.3837638376383763E-3</v>
      </c>
      <c r="M8" s="497"/>
      <c r="N8" s="560">
        <f t="shared" si="0"/>
        <v>0</v>
      </c>
      <c r="O8" s="561"/>
      <c r="P8" s="562"/>
      <c r="R8" s="570"/>
      <c r="S8" s="560">
        <f t="shared" si="1"/>
        <v>0</v>
      </c>
      <c r="T8" s="561"/>
      <c r="U8" s="562"/>
      <c r="W8" s="570"/>
      <c r="X8" s="560">
        <f t="shared" si="2"/>
        <v>0</v>
      </c>
      <c r="Y8" s="561"/>
      <c r="Z8" s="562"/>
    </row>
    <row r="9" spans="1:26" ht="63.75" x14ac:dyDescent="0.2">
      <c r="A9" s="843"/>
      <c r="B9" s="840"/>
      <c r="C9" s="849"/>
      <c r="D9" s="395">
        <v>4</v>
      </c>
      <c r="E9" s="834"/>
      <c r="F9" s="143" t="s">
        <v>68</v>
      </c>
      <c r="G9" s="533" t="s">
        <v>646</v>
      </c>
      <c r="H9" s="533" t="str">
        <f>IF(VLOOKUP(D9,'Indicateurs - en cours'!$C$5:$J$25,8,FALSE)&lt;&gt;0,VLOOKUP(D9,'Indicateurs - en cours'!$C$5:$J$25,8,FALSE),"")</f>
        <v/>
      </c>
      <c r="I9" s="534"/>
      <c r="J9" s="4"/>
      <c r="K9" s="846"/>
      <c r="L9" s="422">
        <f>INDEX('Note finale'!$B$5:$AA$26,MATCH('Axe 1'!$A$6,'Note finale'!$B$5:$B$26,0),MATCH($E$6,'Note finale'!$B$4:$AA$4,0))</f>
        <v>1.3837638376383763E-3</v>
      </c>
      <c r="M9" s="497"/>
      <c r="N9" s="560">
        <f t="shared" si="0"/>
        <v>0</v>
      </c>
      <c r="O9" s="563"/>
      <c r="P9" s="562"/>
      <c r="R9" s="570"/>
      <c r="S9" s="560">
        <f t="shared" si="1"/>
        <v>0</v>
      </c>
      <c r="T9" s="563"/>
      <c r="U9" s="562"/>
      <c r="W9" s="570"/>
      <c r="X9" s="560">
        <f t="shared" si="2"/>
        <v>0</v>
      </c>
      <c r="Y9" s="563"/>
      <c r="Z9" s="562"/>
    </row>
    <row r="10" spans="1:26" ht="187.5" customHeight="1" x14ac:dyDescent="0.2">
      <c r="A10" s="843"/>
      <c r="B10" s="840"/>
      <c r="C10" s="849"/>
      <c r="D10" s="395">
        <v>5</v>
      </c>
      <c r="E10" s="834" t="s">
        <v>73</v>
      </c>
      <c r="F10" s="143" t="s">
        <v>68</v>
      </c>
      <c r="G10" s="535" t="s">
        <v>402</v>
      </c>
      <c r="H10" s="533" t="str">
        <f>IF(VLOOKUP(D10,'Indicateurs - en cours'!$C$5:$J$25,8,FALSE)&lt;&gt;0,VLOOKUP(D10,'Indicateurs - en cours'!$C$5:$J$25,8,FALSE),"")</f>
        <v>Les éléments suivants sont disponibles : 
- une identification des orientations et des objectifs établis régionalement dans les documents de planification (SRDEII, PRPGD, PRAEC, SRADDET, S3 ...)
- une cartographie des principaux flux entrants, sortants et internes au territoire
- une caractérisation des filières à enjeu 
- une cartographie des gisements 
- un recensement des acteurs principaux et initiatives de l'ECi
- une identification des opportunités de développement</v>
      </c>
      <c r="I10" s="536" t="s">
        <v>635</v>
      </c>
      <c r="J10" s="4"/>
      <c r="K10" s="838">
        <v>60</v>
      </c>
      <c r="L10" s="422">
        <f>INDEX('Note finale'!$B$5:$AA$26,MATCH('Axe 1'!$A$6,'Note finale'!$B$5:$B$26,0),MATCH($E$10,'Note finale'!$B$4:$AA$4,0))</f>
        <v>1.107011070110701E-2</v>
      </c>
      <c r="M10" s="497"/>
      <c r="N10" s="560">
        <f t="shared" si="0"/>
        <v>0</v>
      </c>
      <c r="O10" s="564"/>
      <c r="P10" s="562"/>
      <c r="R10" s="570"/>
      <c r="S10" s="560">
        <f t="shared" si="1"/>
        <v>0</v>
      </c>
      <c r="T10" s="564"/>
      <c r="U10" s="562"/>
      <c r="W10" s="570"/>
      <c r="X10" s="560">
        <f t="shared" si="2"/>
        <v>0</v>
      </c>
      <c r="Y10" s="564"/>
      <c r="Z10" s="562"/>
    </row>
    <row r="11" spans="1:26" ht="43.5" customHeight="1" x14ac:dyDescent="0.2">
      <c r="A11" s="843"/>
      <c r="B11" s="840"/>
      <c r="C11" s="849"/>
      <c r="D11" s="395">
        <v>6</v>
      </c>
      <c r="E11" s="834"/>
      <c r="F11" s="143" t="s">
        <v>68</v>
      </c>
      <c r="G11" s="533" t="s">
        <v>74</v>
      </c>
      <c r="H11" s="533" t="str">
        <f>IF(VLOOKUP(D11,'Indicateurs - en cours'!$C$5:$J$25,8,FALSE)&lt;&gt;0,VLOOKUP(D11,'Indicateurs - en cours'!$C$5:$J$25,8,FALSE),"")</f>
        <v>Le document cadre de la stratégie économie circulaire est disponible et a été adopté par la collectivité lors d'une délibération</v>
      </c>
      <c r="I11" s="537"/>
      <c r="J11" s="4"/>
      <c r="K11" s="838"/>
      <c r="L11" s="422">
        <f>INDEX('Note finale'!$B$5:$AA$26,MATCH('Axe 1'!$A$6,'Note finale'!$B$5:$B$26,0),MATCH($E$10,'Note finale'!$B$4:$AA$4,0))</f>
        <v>1.107011070110701E-2</v>
      </c>
      <c r="M11" s="497"/>
      <c r="N11" s="560">
        <f t="shared" si="0"/>
        <v>0</v>
      </c>
      <c r="O11" s="565"/>
      <c r="P11" s="562"/>
      <c r="R11" s="570"/>
      <c r="S11" s="560">
        <f t="shared" si="1"/>
        <v>0</v>
      </c>
      <c r="T11" s="565"/>
      <c r="U11" s="562"/>
      <c r="W11" s="570"/>
      <c r="X11" s="560">
        <f t="shared" si="2"/>
        <v>0</v>
      </c>
      <c r="Y11" s="565"/>
      <c r="Z11" s="562"/>
    </row>
    <row r="12" spans="1:26" ht="38.25" x14ac:dyDescent="0.2">
      <c r="A12" s="843"/>
      <c r="B12" s="840"/>
      <c r="C12" s="849"/>
      <c r="D12" s="395">
        <v>7</v>
      </c>
      <c r="E12" s="834"/>
      <c r="F12" s="143" t="s">
        <v>68</v>
      </c>
      <c r="G12" s="533" t="s">
        <v>573</v>
      </c>
      <c r="H12" s="533" t="str">
        <f>IF(VLOOKUP(D12,'Indicateurs - en cours'!$C$5:$J$25,8,FALSE)&lt;&gt;0,VLOOKUP(D12,'Indicateurs - en cours'!$C$5:$J$25,8,FALSE),"")</f>
        <v/>
      </c>
      <c r="I12" s="537"/>
      <c r="J12" s="4"/>
      <c r="K12" s="838"/>
      <c r="L12" s="422">
        <f>INDEX('Note finale'!$B$5:$AA$26,MATCH('Axe 1'!$A$6,'Note finale'!$B$5:$B$26,0),MATCH($E$10,'Note finale'!$B$4:$AA$4,0))</f>
        <v>1.107011070110701E-2</v>
      </c>
      <c r="M12" s="497"/>
      <c r="N12" s="560">
        <f t="shared" si="0"/>
        <v>0</v>
      </c>
      <c r="O12" s="565"/>
      <c r="P12" s="562"/>
      <c r="R12" s="570"/>
      <c r="S12" s="560">
        <f t="shared" si="1"/>
        <v>0</v>
      </c>
      <c r="T12" s="565"/>
      <c r="U12" s="562"/>
      <c r="W12" s="570"/>
      <c r="X12" s="560">
        <f t="shared" si="2"/>
        <v>0</v>
      </c>
      <c r="Y12" s="565"/>
      <c r="Z12" s="562"/>
    </row>
    <row r="13" spans="1:26" ht="15" customHeight="1" x14ac:dyDescent="0.2">
      <c r="A13" s="843"/>
      <c r="B13" s="840"/>
      <c r="C13" s="849"/>
      <c r="D13" s="395">
        <v>8</v>
      </c>
      <c r="E13" s="834" t="s">
        <v>75</v>
      </c>
      <c r="F13" s="143" t="s">
        <v>68</v>
      </c>
      <c r="G13" s="533" t="s">
        <v>76</v>
      </c>
      <c r="H13" s="533" t="str">
        <f>IF(VLOOKUP(D13,'Indicateurs - en cours'!$C$5:$J$25,8,FALSE)&lt;&gt;0,VLOOKUP(D13,'Indicateurs - en cours'!$C$5:$J$25,8,FALSE),"")</f>
        <v/>
      </c>
      <c r="I13" s="534"/>
      <c r="J13" s="4"/>
      <c r="K13" s="838">
        <v>30</v>
      </c>
      <c r="L13" s="422">
        <f>INDEX('Note finale'!$B$5:$AA$26,MATCH('Axe 1'!$A$6,'Note finale'!$B$5:$B$26,0),MATCH($E$13,'Note finale'!$B$4:$AA$4,0))</f>
        <v>5.5350553505535052E-3</v>
      </c>
      <c r="M13" s="497"/>
      <c r="N13" s="560">
        <f t="shared" si="0"/>
        <v>0</v>
      </c>
      <c r="O13" s="563"/>
      <c r="P13" s="562"/>
      <c r="R13" s="570"/>
      <c r="S13" s="560">
        <f t="shared" si="1"/>
        <v>0</v>
      </c>
      <c r="T13" s="563"/>
      <c r="U13" s="562"/>
      <c r="W13" s="570"/>
      <c r="X13" s="560">
        <f t="shared" si="2"/>
        <v>0</v>
      </c>
      <c r="Y13" s="563"/>
      <c r="Z13" s="562"/>
    </row>
    <row r="14" spans="1:26" ht="38.25" x14ac:dyDescent="0.2">
      <c r="A14" s="843"/>
      <c r="B14" s="840"/>
      <c r="C14" s="849"/>
      <c r="D14" s="395">
        <v>9</v>
      </c>
      <c r="E14" s="834"/>
      <c r="F14" s="143" t="s">
        <v>68</v>
      </c>
      <c r="G14" s="533" t="s">
        <v>77</v>
      </c>
      <c r="H14" s="533" t="str">
        <f>IF(VLOOKUP(D14,'Indicateurs - en cours'!$C$5:$J$25,8,FALSE)&lt;&gt;0,VLOOKUP(D14,'Indicateurs - en cours'!$C$5:$J$25,8,FALSE),"")</f>
        <v>Nombre de réseaux (régionaux ou nationaux) d'économie circulaire dans lesquels la collectivité est impliquée</v>
      </c>
      <c r="I14" s="534"/>
      <c r="J14" s="4"/>
      <c r="K14" s="838"/>
      <c r="L14" s="422">
        <f>INDEX('Note finale'!$B$5:$AA$26,MATCH('Axe 1'!$A$6,'Note finale'!$B$5:$B$26,0),MATCH($E$13,'Note finale'!$B$4:$AA$4,0))</f>
        <v>5.5350553505535052E-3</v>
      </c>
      <c r="M14" s="497"/>
      <c r="N14" s="560">
        <f t="shared" si="0"/>
        <v>0</v>
      </c>
      <c r="O14" s="563"/>
      <c r="P14" s="562"/>
      <c r="R14" s="570"/>
      <c r="S14" s="560">
        <f t="shared" si="1"/>
        <v>0</v>
      </c>
      <c r="T14" s="563"/>
      <c r="U14" s="562"/>
      <c r="W14" s="570"/>
      <c r="X14" s="560">
        <f t="shared" si="2"/>
        <v>0</v>
      </c>
      <c r="Y14" s="563"/>
      <c r="Z14" s="562"/>
    </row>
    <row r="15" spans="1:26" ht="38.25" x14ac:dyDescent="0.2">
      <c r="A15" s="843"/>
      <c r="B15" s="840"/>
      <c r="C15" s="849"/>
      <c r="D15" s="395">
        <v>10</v>
      </c>
      <c r="E15" s="844"/>
      <c r="F15" s="144" t="s">
        <v>68</v>
      </c>
      <c r="G15" s="538" t="s">
        <v>78</v>
      </c>
      <c r="H15" s="538" t="str">
        <f>IF(VLOOKUP(D15,'Indicateurs - en cours'!$C$5:$J$25,8,FALSE)&lt;&gt;0,VLOOKUP(D15,'Indicateurs - en cours'!$C$5:$J$25,8,FALSE),"")</f>
        <v>Nombre de communications réalisées hors du territoire (réunions, présentations, forums, …) pendant une année</v>
      </c>
      <c r="I15" s="539" t="s">
        <v>79</v>
      </c>
      <c r="J15" s="4"/>
      <c r="K15" s="847"/>
      <c r="L15" s="423">
        <f>INDEX('Note finale'!$B$5:$AA$26,MATCH('Axe 1'!$A$6,'Note finale'!$B$5:$B$26,0),MATCH($E$13,'Note finale'!$B$4:$AA$4,0))</f>
        <v>5.5350553505535052E-3</v>
      </c>
      <c r="M15" s="498"/>
      <c r="N15" s="566">
        <f t="shared" si="0"/>
        <v>0</v>
      </c>
      <c r="O15" s="567"/>
      <c r="P15" s="568"/>
      <c r="R15" s="571"/>
      <c r="S15" s="566">
        <f t="shared" si="1"/>
        <v>0</v>
      </c>
      <c r="T15" s="567"/>
      <c r="U15" s="568"/>
      <c r="W15" s="571"/>
      <c r="X15" s="566">
        <f t="shared" si="2"/>
        <v>0</v>
      </c>
      <c r="Y15" s="567"/>
      <c r="Z15" s="568"/>
    </row>
    <row r="16" spans="1:26" ht="7.5" customHeight="1" x14ac:dyDescent="0.2">
      <c r="A16" s="9"/>
      <c r="B16" s="10"/>
      <c r="C16" s="5"/>
      <c r="D16" s="396"/>
      <c r="E16" s="22"/>
      <c r="F16" s="22"/>
      <c r="G16" s="540"/>
      <c r="H16" s="540"/>
      <c r="I16" s="540"/>
      <c r="J16" s="4"/>
      <c r="K16" s="4"/>
      <c r="L16" s="420"/>
      <c r="M16" s="782"/>
      <c r="N16" s="515"/>
      <c r="O16" s="513"/>
      <c r="P16" s="499"/>
      <c r="R16" s="499"/>
      <c r="S16" s="515"/>
      <c r="T16" s="513"/>
      <c r="U16" s="499"/>
      <c r="W16" s="499"/>
      <c r="X16" s="515"/>
      <c r="Y16" s="513"/>
      <c r="Z16" s="499"/>
    </row>
    <row r="17" spans="1:26" ht="93" customHeight="1" x14ac:dyDescent="0.2">
      <c r="A17" s="843" t="s">
        <v>80</v>
      </c>
      <c r="B17" s="840" t="s">
        <v>570</v>
      </c>
      <c r="C17" s="836" t="s">
        <v>81</v>
      </c>
      <c r="D17" s="396">
        <v>11</v>
      </c>
      <c r="E17" s="442" t="s">
        <v>67</v>
      </c>
      <c r="F17" s="142" t="s">
        <v>68</v>
      </c>
      <c r="G17" s="541" t="s">
        <v>647</v>
      </c>
      <c r="H17" s="542" t="str">
        <f>IF(VLOOKUP(D17,'Indicateurs - en cours'!$C$5:$J$25,8,FALSE)&lt;&gt;0,VLOOKUP(D17,'Indicateurs - en cours'!$C$5:$J$25,8,FALSE),"")</f>
        <v>Les autres plans et schémas font mention à la stratégie EC de la collectivité</v>
      </c>
      <c r="I17" s="543" t="s">
        <v>82</v>
      </c>
      <c r="J17" s="4"/>
      <c r="K17" s="140">
        <v>10</v>
      </c>
      <c r="L17" s="421">
        <f>INDEX('Note finale'!$B$5:$AA$26,MATCH('Axe 1'!A17,'Note finale'!$B$5:$B$26,0),MATCH(E17,'Note finale'!$B$4:$AA$4,0))</f>
        <v>5.5350553505535052E-3</v>
      </c>
      <c r="M17" s="496"/>
      <c r="N17" s="557">
        <f>L17*M17</f>
        <v>0</v>
      </c>
      <c r="O17" s="572"/>
      <c r="P17" s="559"/>
      <c r="R17" s="569"/>
      <c r="S17" s="557">
        <f t="shared" si="1"/>
        <v>0</v>
      </c>
      <c r="T17" s="572"/>
      <c r="U17" s="559"/>
      <c r="W17" s="569"/>
      <c r="X17" s="557">
        <f t="shared" si="2"/>
        <v>0</v>
      </c>
      <c r="Y17" s="572"/>
      <c r="Z17" s="559"/>
    </row>
    <row r="18" spans="1:26" ht="107.25" customHeight="1" x14ac:dyDescent="0.2">
      <c r="A18" s="843"/>
      <c r="B18" s="840"/>
      <c r="C18" s="836"/>
      <c r="D18" s="396">
        <v>12</v>
      </c>
      <c r="E18" s="443" t="s">
        <v>73</v>
      </c>
      <c r="F18" s="143" t="s">
        <v>83</v>
      </c>
      <c r="G18" s="535" t="s">
        <v>605</v>
      </c>
      <c r="H18" s="533" t="str">
        <f>IF(VLOOKUP(D18,'Indicateurs - en cours'!$C$5:$J$25,8,FALSE)&lt;&gt;0,VLOOKUP(D18,'Indicateurs - en cours'!$C$5:$J$25,8,FALSE),"")</f>
        <v/>
      </c>
      <c r="I18" s="544" t="s">
        <v>388</v>
      </c>
      <c r="J18" s="12"/>
      <c r="K18" s="516">
        <v>60</v>
      </c>
      <c r="L18" s="422">
        <f>INDEX('Note finale'!$B$5:$AA$26,MATCH('Axe 1'!A17,'Note finale'!$B$5:$B$26,0),MATCH(E18,'Note finale'!$B$4:$AA$4,0))</f>
        <v>0</v>
      </c>
      <c r="M18" s="497"/>
      <c r="N18" s="560">
        <f t="shared" ref="N18:N19" si="3">L18*M18</f>
        <v>0</v>
      </c>
      <c r="O18" s="564"/>
      <c r="P18" s="573"/>
      <c r="R18" s="576"/>
      <c r="S18" s="560">
        <f t="shared" si="1"/>
        <v>0</v>
      </c>
      <c r="T18" s="564"/>
      <c r="U18" s="573"/>
      <c r="W18" s="576"/>
      <c r="X18" s="560">
        <f t="shared" si="2"/>
        <v>0</v>
      </c>
      <c r="Y18" s="564"/>
      <c r="Z18" s="573"/>
    </row>
    <row r="19" spans="1:26" ht="96" customHeight="1" x14ac:dyDescent="0.2">
      <c r="A19" s="843"/>
      <c r="B19" s="840"/>
      <c r="C19" s="836"/>
      <c r="D19" s="396">
        <v>13</v>
      </c>
      <c r="E19" s="444" t="s">
        <v>75</v>
      </c>
      <c r="F19" s="144" t="s">
        <v>68</v>
      </c>
      <c r="G19" s="545" t="s">
        <v>85</v>
      </c>
      <c r="H19" s="546" t="str">
        <f>IF(VLOOKUP(D19,'Indicateurs - en cours'!$C$5:$J$25,8,FALSE)&lt;&gt;0,VLOOKUP(D19,'Indicateurs - en cours'!$C$5:$J$25,8,FALSE),"")</f>
        <v>Le plan pluriannuel de formation de l'EPCI intègre des sessions de formation sur la thématique de l'économie circulaire</v>
      </c>
      <c r="I19" s="547" t="s">
        <v>638</v>
      </c>
      <c r="J19" s="12"/>
      <c r="K19" s="517">
        <v>30</v>
      </c>
      <c r="L19" s="423">
        <f>INDEX('Note finale'!$B$5:$AA$26,MATCH('Axe 1'!A17,'Note finale'!$B$5:$B$26,0),MATCH(E19,'Note finale'!$B$4:$AA$4,0))</f>
        <v>1.6605166051660517E-2</v>
      </c>
      <c r="M19" s="498"/>
      <c r="N19" s="566">
        <f t="shared" si="3"/>
        <v>0</v>
      </c>
      <c r="O19" s="574"/>
      <c r="P19" s="575"/>
      <c r="R19" s="577"/>
      <c r="S19" s="566">
        <f t="shared" si="1"/>
        <v>0</v>
      </c>
      <c r="T19" s="574"/>
      <c r="U19" s="575"/>
      <c r="W19" s="577"/>
      <c r="X19" s="566">
        <f t="shared" si="2"/>
        <v>0</v>
      </c>
      <c r="Y19" s="574"/>
      <c r="Z19" s="575"/>
    </row>
    <row r="20" spans="1:26" ht="7.5" customHeight="1" x14ac:dyDescent="0.2">
      <c r="A20" s="9"/>
      <c r="B20" s="10"/>
      <c r="C20" s="5"/>
      <c r="D20" s="396"/>
      <c r="E20" s="74"/>
      <c r="F20" s="22"/>
      <c r="G20" s="540"/>
      <c r="H20" s="540"/>
      <c r="I20" s="548"/>
      <c r="J20" s="4"/>
      <c r="K20" s="4"/>
      <c r="L20" s="420"/>
      <c r="M20" s="782"/>
      <c r="N20" s="515"/>
      <c r="O20" s="513"/>
      <c r="P20" s="499"/>
      <c r="R20" s="499"/>
      <c r="S20" s="515"/>
      <c r="T20" s="513"/>
      <c r="U20" s="499"/>
      <c r="W20" s="499"/>
      <c r="X20" s="515"/>
      <c r="Y20" s="513"/>
      <c r="Z20" s="499"/>
    </row>
    <row r="21" spans="1:26" ht="126.75" customHeight="1" x14ac:dyDescent="0.2">
      <c r="A21" s="843" t="s">
        <v>86</v>
      </c>
      <c r="B21" s="840" t="s">
        <v>87</v>
      </c>
      <c r="C21" s="836" t="s">
        <v>637</v>
      </c>
      <c r="D21" s="396">
        <v>14</v>
      </c>
      <c r="E21" s="442" t="s">
        <v>67</v>
      </c>
      <c r="F21" s="142" t="s">
        <v>68</v>
      </c>
      <c r="G21" s="541" t="s">
        <v>88</v>
      </c>
      <c r="H21" s="549" t="str">
        <f>IF(VLOOKUP(D21,'Indicateurs - en cours'!$C$5:$J$25,8,FALSE)&lt;&gt;0,VLOOKUP(D21,'Indicateurs - en cours'!$C$5:$J$25,8,FALSE),"")</f>
        <v xml:space="preserve">Un tableau de suivi de la stratégie EC de la collectivité est disponible, regroupant des indicateurs sur l'ensemble des politiques interagissant avec la stratégie Eci
</v>
      </c>
      <c r="I21" s="505" t="s">
        <v>526</v>
      </c>
      <c r="J21" s="4"/>
      <c r="K21" s="140">
        <v>30</v>
      </c>
      <c r="L21" s="421">
        <f>INDEX('Note finale'!$B$5:$AA$26,MATCH('Axe 1'!A21,'Note finale'!$B$5:$B$26,0),MATCH(E21,'Note finale'!$B$4:$AA$4,0))</f>
        <v>1.6605166051660517E-2</v>
      </c>
      <c r="M21" s="496"/>
      <c r="N21" s="557">
        <f>L21*M21</f>
        <v>0</v>
      </c>
      <c r="O21" s="578"/>
      <c r="P21" s="559"/>
      <c r="R21" s="569"/>
      <c r="S21" s="557">
        <f t="shared" si="1"/>
        <v>0</v>
      </c>
      <c r="T21" s="578"/>
      <c r="U21" s="559"/>
      <c r="W21" s="569"/>
      <c r="X21" s="557">
        <f t="shared" si="2"/>
        <v>0</v>
      </c>
      <c r="Y21" s="578"/>
      <c r="Z21" s="559"/>
    </row>
    <row r="22" spans="1:26" ht="30" customHeight="1" x14ac:dyDescent="0.2">
      <c r="A22" s="843"/>
      <c r="B22" s="840"/>
      <c r="C22" s="836"/>
      <c r="D22" s="396">
        <v>15</v>
      </c>
      <c r="E22" s="834" t="s">
        <v>73</v>
      </c>
      <c r="F22" s="143" t="s">
        <v>68</v>
      </c>
      <c r="G22" s="550" t="s">
        <v>89</v>
      </c>
      <c r="H22" s="550" t="str">
        <f>IF(VLOOKUP(D22,'Indicateurs - en cours'!$C$5:$J$25,8,FALSE)&lt;&gt;0,VLOOKUP(D22,'Indicateurs - en cours'!$C$5:$J$25,8,FALSE),"")</f>
        <v/>
      </c>
      <c r="I22" s="544"/>
      <c r="J22" s="4"/>
      <c r="K22" s="838">
        <v>50</v>
      </c>
      <c r="L22" s="422">
        <f>INDEX('Note finale'!$B$5:$AA$26,MATCH('Axe 1'!A21,'Note finale'!$B$5:$B$26,0),MATCH(E22,'Note finale'!$B$4:$AA$4,0))</f>
        <v>1.3837638376383764E-2</v>
      </c>
      <c r="M22" s="497"/>
      <c r="N22" s="560">
        <f t="shared" ref="N22:N24" si="4">L22*M22</f>
        <v>0</v>
      </c>
      <c r="O22" s="564"/>
      <c r="P22" s="562"/>
      <c r="R22" s="570"/>
      <c r="S22" s="560">
        <f t="shared" si="1"/>
        <v>0</v>
      </c>
      <c r="T22" s="564"/>
      <c r="U22" s="562"/>
      <c r="W22" s="570"/>
      <c r="X22" s="560">
        <f t="shared" si="2"/>
        <v>0</v>
      </c>
      <c r="Y22" s="564"/>
      <c r="Z22" s="562"/>
    </row>
    <row r="23" spans="1:26" ht="38.25" x14ac:dyDescent="0.2">
      <c r="A23" s="843"/>
      <c r="B23" s="840"/>
      <c r="C23" s="836"/>
      <c r="D23" s="396">
        <v>16</v>
      </c>
      <c r="E23" s="834"/>
      <c r="F23" s="143" t="s">
        <v>68</v>
      </c>
      <c r="G23" s="550" t="s">
        <v>90</v>
      </c>
      <c r="H23" s="550" t="str">
        <f>IF(VLOOKUP(D23,'Indicateurs - en cours'!$C$5:$J$25,8,FALSE)&lt;&gt;0,VLOOKUP(D23,'Indicateurs - en cours'!$C$5:$J$25,8,FALSE),"")</f>
        <v>Date de la dernière actualisation du plan d'actions</v>
      </c>
      <c r="I23" s="544"/>
      <c r="J23" s="4"/>
      <c r="K23" s="838"/>
      <c r="L23" s="422">
        <f>INDEX('Note finale'!$B$5:$AA$26,MATCH('Axe 1'!A21,'Note finale'!$B$5:$B$26,0),MATCH(E22,'Note finale'!$B$4:$AA$4,0))</f>
        <v>1.3837638376383764E-2</v>
      </c>
      <c r="M23" s="497"/>
      <c r="N23" s="560">
        <f t="shared" si="4"/>
        <v>0</v>
      </c>
      <c r="O23" s="564"/>
      <c r="P23" s="562"/>
      <c r="R23" s="570"/>
      <c r="S23" s="560">
        <f t="shared" si="1"/>
        <v>0</v>
      </c>
      <c r="T23" s="564"/>
      <c r="U23" s="562"/>
      <c r="W23" s="570"/>
      <c r="X23" s="560">
        <f t="shared" si="2"/>
        <v>0</v>
      </c>
      <c r="Y23" s="564"/>
      <c r="Z23" s="562"/>
    </row>
    <row r="24" spans="1:26" ht="200.25" customHeight="1" x14ac:dyDescent="0.2">
      <c r="A24" s="843"/>
      <c r="B24" s="840"/>
      <c r="C24" s="836"/>
      <c r="D24" s="396">
        <v>17</v>
      </c>
      <c r="E24" s="444" t="s">
        <v>75</v>
      </c>
      <c r="F24" s="144" t="s">
        <v>68</v>
      </c>
      <c r="G24" s="545" t="s">
        <v>91</v>
      </c>
      <c r="H24" s="545" t="str">
        <f>IF(VLOOKUP(D24,'Indicateurs - en cours'!$C$5:$J$25,8,FALSE)&lt;&gt;0,VLOOKUP(D24,'Indicateurs - en cours'!$C$5:$J$25,8,FALSE),"")</f>
        <v>Un tableau de calcul reprenant les éléments suivants est disponible :
- Les quantités de déchets valorisées et évitées ;
- Les ressources épargnées grâce à la stratégie d'EC mise en place ;
- Les émissions de GES évitées, les économies d'énergie réalisées ;
- Nombre d'établissements/activités contribuant à l'économie circulaire sur le territoire ;
- Nombre d'emplois créés et potentiel de création d'emplois, % d'emplois dédiés à l'économie circulaire ;
- Suivi de la localisation des dépenses de la collectivité / du syndicat ;
- Pouvoir d'achat des ménages.</v>
      </c>
      <c r="I24" s="551" t="s">
        <v>395</v>
      </c>
      <c r="J24" s="4"/>
      <c r="K24" s="517">
        <v>20</v>
      </c>
      <c r="L24" s="423">
        <f>INDEX('Note finale'!$B$5:$AA$26,MATCH('Axe 1'!A21,'Note finale'!$B$5:$B$26,0),MATCH(E24,'Note finale'!$B$4:$AA$4,0))</f>
        <v>1.107011070110701E-2</v>
      </c>
      <c r="M24" s="498"/>
      <c r="N24" s="566">
        <f t="shared" si="4"/>
        <v>0</v>
      </c>
      <c r="O24" s="579"/>
      <c r="P24" s="568"/>
      <c r="R24" s="571"/>
      <c r="S24" s="566">
        <f t="shared" si="1"/>
        <v>0</v>
      </c>
      <c r="T24" s="579"/>
      <c r="U24" s="568"/>
      <c r="W24" s="571"/>
      <c r="X24" s="566">
        <f t="shared" si="2"/>
        <v>0</v>
      </c>
      <c r="Y24" s="579"/>
      <c r="Z24" s="568"/>
    </row>
    <row r="25" spans="1:26" ht="7.5" customHeight="1" x14ac:dyDescent="0.25">
      <c r="G25" s="552"/>
      <c r="H25" s="552"/>
      <c r="I25" s="552"/>
      <c r="L25" s="420"/>
      <c r="M25" s="782"/>
      <c r="N25" s="515"/>
      <c r="O25" s="513"/>
      <c r="P25" s="500"/>
      <c r="R25" s="500"/>
      <c r="S25" s="515"/>
      <c r="T25" s="513"/>
      <c r="U25" s="500"/>
      <c r="W25" s="500"/>
      <c r="X25" s="515"/>
      <c r="Y25" s="513"/>
      <c r="Z25" s="500"/>
    </row>
    <row r="26" spans="1:26" ht="140.25" customHeight="1" x14ac:dyDescent="0.2">
      <c r="A26" s="842" t="s">
        <v>385</v>
      </c>
      <c r="B26" s="840" t="s">
        <v>645</v>
      </c>
      <c r="C26" s="836" t="s">
        <v>568</v>
      </c>
      <c r="D26" s="398">
        <v>18</v>
      </c>
      <c r="E26" s="442" t="s">
        <v>67</v>
      </c>
      <c r="F26" s="142" t="s">
        <v>68</v>
      </c>
      <c r="G26" s="549" t="s">
        <v>840</v>
      </c>
      <c r="H26" s="553" t="str">
        <f>IF(VLOOKUP(D26,'Indicateurs - en cours'!$C$5:$J$25,8,FALSE)&lt;&gt;0,VLOOKUP(D26,'Indicateurs - en cours'!$C$5:$J$25,8,FALSE),"")</f>
        <v/>
      </c>
      <c r="I26" s="543" t="s">
        <v>571</v>
      </c>
      <c r="K26" s="262">
        <v>30</v>
      </c>
      <c r="L26" s="421">
        <f>INDEX('Note finale'!$B$5:$AA$26,MATCH('Axe 1'!A26,'Note finale'!$B$5:$B$26,0),MATCH(E26,'Note finale'!$B$4:$AA$4,0))</f>
        <v>1.6605166051660517E-2</v>
      </c>
      <c r="M26" s="496"/>
      <c r="N26" s="557">
        <f>L26*M26</f>
        <v>0</v>
      </c>
      <c r="O26" s="580"/>
      <c r="P26" s="581"/>
      <c r="R26" s="586"/>
      <c r="S26" s="557">
        <f t="shared" si="1"/>
        <v>0</v>
      </c>
      <c r="T26" s="580"/>
      <c r="U26" s="581"/>
      <c r="W26" s="586"/>
      <c r="X26" s="557">
        <f t="shared" si="2"/>
        <v>0</v>
      </c>
      <c r="Y26" s="580"/>
      <c r="Z26" s="581"/>
    </row>
    <row r="27" spans="1:26" ht="51" x14ac:dyDescent="0.2">
      <c r="A27" s="842"/>
      <c r="B27" s="840"/>
      <c r="C27" s="836"/>
      <c r="D27" s="398">
        <v>19</v>
      </c>
      <c r="E27" s="834" t="s">
        <v>73</v>
      </c>
      <c r="F27" s="143" t="s">
        <v>68</v>
      </c>
      <c r="G27" s="550" t="s">
        <v>841</v>
      </c>
      <c r="H27" s="554" t="str">
        <f>IF(VLOOKUP(D27,'Indicateurs - en cours'!$C$5:$J$25,8,FALSE)&lt;&gt;0,VLOOKUP(D27,'Indicateurs - en cours'!$C$5:$J$25,8,FALSE),"")</f>
        <v/>
      </c>
      <c r="I27" s="555" t="s">
        <v>572</v>
      </c>
      <c r="K27" s="837">
        <v>50</v>
      </c>
      <c r="L27" s="422">
        <f>INDEX('Note finale'!$B$5:$AA$26,MATCH('Axe 1'!A26,'Note finale'!$B$5:$B$26,0),MATCH(E27,'Note finale'!$B$4:$AA$4,0))</f>
        <v>1.3837638376383764E-2</v>
      </c>
      <c r="M27" s="497"/>
      <c r="N27" s="560">
        <f t="shared" ref="N27:N29" si="5">L27*M27</f>
        <v>0</v>
      </c>
      <c r="O27" s="582"/>
      <c r="P27" s="583"/>
      <c r="R27" s="587"/>
      <c r="S27" s="560">
        <f t="shared" si="1"/>
        <v>0</v>
      </c>
      <c r="T27" s="582"/>
      <c r="U27" s="583"/>
      <c r="W27" s="587"/>
      <c r="X27" s="560">
        <f t="shared" si="2"/>
        <v>0</v>
      </c>
      <c r="Y27" s="582"/>
      <c r="Z27" s="583"/>
    </row>
    <row r="28" spans="1:26" ht="69" customHeight="1" x14ac:dyDescent="0.2">
      <c r="A28" s="842"/>
      <c r="B28" s="840"/>
      <c r="C28" s="836"/>
      <c r="D28" s="398">
        <v>20</v>
      </c>
      <c r="E28" s="834"/>
      <c r="F28" s="143" t="s">
        <v>68</v>
      </c>
      <c r="G28" s="550" t="s">
        <v>569</v>
      </c>
      <c r="H28" s="554" t="str">
        <f>IF(VLOOKUP(D28,'Indicateurs - en cours'!$C$5:$J$25,8,FALSE)&lt;&gt;0,VLOOKUP(D28,'Indicateurs - en cours'!$C$5:$J$25,8,FALSE),"")</f>
        <v/>
      </c>
      <c r="I28" s="534"/>
      <c r="K28" s="837"/>
      <c r="L28" s="422">
        <f>INDEX('Note finale'!$B$5:$AA$26,MATCH('Axe 1'!A26,'Note finale'!$B$5:$B$26,0),MATCH(E27,'Note finale'!$B$4:$AA$4,0))</f>
        <v>1.3837638376383764E-2</v>
      </c>
      <c r="M28" s="497"/>
      <c r="N28" s="560">
        <f t="shared" si="5"/>
        <v>0</v>
      </c>
      <c r="O28" s="563"/>
      <c r="P28" s="583"/>
      <c r="R28" s="587"/>
      <c r="S28" s="560">
        <f t="shared" si="1"/>
        <v>0</v>
      </c>
      <c r="T28" s="563"/>
      <c r="U28" s="583"/>
      <c r="W28" s="587"/>
      <c r="X28" s="560">
        <f t="shared" si="2"/>
        <v>0</v>
      </c>
      <c r="Y28" s="563"/>
      <c r="Z28" s="583"/>
    </row>
    <row r="29" spans="1:26" ht="63.75" x14ac:dyDescent="0.2">
      <c r="A29" s="842"/>
      <c r="B29" s="840"/>
      <c r="C29" s="836"/>
      <c r="D29" s="398">
        <v>21</v>
      </c>
      <c r="E29" s="444" t="s">
        <v>75</v>
      </c>
      <c r="F29" s="144" t="s">
        <v>68</v>
      </c>
      <c r="G29" s="545" t="s">
        <v>639</v>
      </c>
      <c r="H29" s="538" t="str">
        <f>IF(VLOOKUP(D29,'Indicateurs - en cours'!$C$5:$J$25,8,FALSE)&lt;&gt;0,VLOOKUP(D29,'Indicateurs - en cours'!$C$5:$J$25,8,FALSE),"")</f>
        <v>Nombre de réunions opérationnelles annuelles</v>
      </c>
      <c r="I29" s="556" t="s">
        <v>84</v>
      </c>
      <c r="K29" s="263">
        <v>20</v>
      </c>
      <c r="L29" s="423">
        <f>INDEX('Note finale'!$B$5:$AA$26,MATCH('Axe 1'!A26,'Note finale'!$B$5:$B$26,0),MATCH(E29,'Note finale'!$B$4:$AA$4,0))</f>
        <v>1.107011070110701E-2</v>
      </c>
      <c r="M29" s="498"/>
      <c r="N29" s="566">
        <f t="shared" si="5"/>
        <v>0</v>
      </c>
      <c r="O29" s="584"/>
      <c r="P29" s="585"/>
      <c r="R29" s="588"/>
      <c r="S29" s="566">
        <f t="shared" si="1"/>
        <v>0</v>
      </c>
      <c r="T29" s="584"/>
      <c r="U29" s="585"/>
      <c r="W29" s="588"/>
      <c r="X29" s="566">
        <f t="shared" si="2"/>
        <v>0</v>
      </c>
      <c r="Y29" s="584"/>
      <c r="Z29" s="585"/>
    </row>
    <row r="30" spans="1:26" x14ac:dyDescent="0.25">
      <c r="B30" s="14"/>
    </row>
  </sheetData>
  <sheetProtection algorithmName="SHA-512" hashValue="EqCTTKn5WCvKu/TZ8IQ5sWirxzJMiKkaC2eb92mxXmKr1W2fFcbZCj4GB/zZbIIPtDcoYW29/Q+BfXX6sV/bqA==" saltValue="m673Z0xK2MUudPrN5hGj4A==" spinCount="100000" sheet="1" selectLockedCells="1"/>
  <protectedRanges>
    <protectedRange sqref="E10:E15 E22:E24 E18:F19" name="Cases à cocher"/>
    <protectedRange sqref="E27:E29" name="Cases à cocher_2"/>
  </protectedRanges>
  <mergeCells count="29">
    <mergeCell ref="B3:B4"/>
    <mergeCell ref="B6:B15"/>
    <mergeCell ref="E22:E23"/>
    <mergeCell ref="A1:O1"/>
    <mergeCell ref="A26:A29"/>
    <mergeCell ref="B26:B29"/>
    <mergeCell ref="B17:B19"/>
    <mergeCell ref="B21:B24"/>
    <mergeCell ref="A21:A24"/>
    <mergeCell ref="A17:A19"/>
    <mergeCell ref="A6:A15"/>
    <mergeCell ref="E13:E15"/>
    <mergeCell ref="K6:K9"/>
    <mergeCell ref="K13:K15"/>
    <mergeCell ref="E6:E9"/>
    <mergeCell ref="C6:C15"/>
    <mergeCell ref="E10:E12"/>
    <mergeCell ref="M3:P3"/>
    <mergeCell ref="R3:U3"/>
    <mergeCell ref="W3:Z3"/>
    <mergeCell ref="C26:C29"/>
    <mergeCell ref="K27:K28"/>
    <mergeCell ref="E27:E28"/>
    <mergeCell ref="C17:C19"/>
    <mergeCell ref="C21:C24"/>
    <mergeCell ref="K22:K23"/>
    <mergeCell ref="C3:C4"/>
    <mergeCell ref="E3:I3"/>
    <mergeCell ref="K10:K12"/>
  </mergeCells>
  <conditionalFormatting sqref="C2">
    <cfRule type="dataBar" priority="90">
      <dataBar>
        <cfvo type="percent" val="0"/>
        <cfvo type="percent" val="100"/>
        <color theme="3" tint="0.79998168889431442"/>
      </dataBar>
      <extLst>
        <ext xmlns:x14="http://schemas.microsoft.com/office/spreadsheetml/2009/9/main" uri="{B025F937-C7B1-47D3-B67F-A62EFF666E3E}">
          <x14:id>{54680A59-4680-43FC-B12B-CE21F45D8A52}</x14:id>
        </ext>
      </extLst>
    </cfRule>
  </conditionalFormatting>
  <conditionalFormatting sqref="L6:L15 L17:L19 L21:L24 L26:L29">
    <cfRule type="cellIs" dxfId="29" priority="43" operator="greaterThan">
      <formula>0.01</formula>
    </cfRule>
  </conditionalFormatting>
  <dataValidations count="1">
    <dataValidation allowBlank="1" showInputMessage="1" sqref="E10:F10 E22:F22 E24:F24 E19 E13:F13 F6:F9 F14:F21 F23 E27:F27 E29:F29 F28 F26 F11:F12"/>
  </dataValidations>
  <pageMargins left="0.23622047244094491" right="0.23622047244094491" top="0.74803149606299213" bottom="0.74803149606299213" header="0.31496062992125984" footer="0.31496062992125984"/>
  <pageSetup paperSize="8" scale="68"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dataBar" id="{54680A59-4680-43FC-B12B-CE21F45D8A52}">
            <x14:dataBar minLength="0" maxLength="100" gradient="0">
              <x14:cfvo type="percent">
                <xm:f>0</xm:f>
              </x14:cfvo>
              <x14:cfvo type="percent">
                <xm:f>100</xm:f>
              </x14:cfvo>
              <x14:negativeFillColor rgb="FFFF0000"/>
              <x14:axisColor rgb="FF000000"/>
            </x14:dataBar>
          </x14:cfRule>
          <xm:sqref>C2</xm:sqref>
        </x14:conditionalFormatting>
        <x14:conditionalFormatting xmlns:xm="http://schemas.microsoft.com/office/excel/2006/main">
          <x14:cfRule type="expression" priority="1" id="{15E0DB35-1294-45A8-B8E3-42FEAC9E0A97}">
            <xm:f>Préambule!$E$43="Oui"</xm:f>
            <x14:dxf>
              <fill>
                <patternFill patternType="lightUp">
                  <fgColor theme="0" tint="-0.499984740745262"/>
                </patternFill>
              </fill>
            </x14:dxf>
          </x14:cfRule>
          <xm:sqref>F18:L18 N18:Z18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theme="5" tint="0.59999389629810485"/>
    <pageSetUpPr fitToPage="1"/>
  </sheetPr>
  <dimension ref="A1:Z104"/>
  <sheetViews>
    <sheetView showGridLines="0" topLeftCell="A104" zoomScale="80" zoomScaleNormal="80" workbookViewId="0">
      <selection activeCell="M29" sqref="M29"/>
    </sheetView>
  </sheetViews>
  <sheetFormatPr baseColWidth="10" defaultColWidth="11.42578125" defaultRowHeight="12.75" x14ac:dyDescent="0.2"/>
  <cols>
    <col min="1" max="1" width="3.5703125" style="1" customWidth="1"/>
    <col min="2" max="2" width="24.28515625" style="1" customWidth="1"/>
    <col min="3" max="3" width="38.85546875" style="1" customWidth="1"/>
    <col min="4" max="4" width="3.5703125" style="401" customWidth="1"/>
    <col min="5" max="5" width="12.7109375" style="93" bestFit="1" customWidth="1"/>
    <col min="6" max="6" width="13" style="145" customWidth="1"/>
    <col min="7" max="7" width="74.28515625" style="1" customWidth="1"/>
    <col min="8" max="8" width="44" style="18" customWidth="1"/>
    <col min="9" max="9" width="36.85546875" style="1" customWidth="1"/>
    <col min="10" max="10" width="3.5703125" style="1" customWidth="1"/>
    <col min="11" max="11" width="12" style="1" customWidth="1"/>
    <col min="12" max="12" width="12" style="1" hidden="1" customWidth="1"/>
    <col min="13" max="13" width="13.7109375" style="1" customWidth="1"/>
    <col min="14" max="14" width="17.7109375" style="773" hidden="1" customWidth="1"/>
    <col min="15" max="15" width="37.140625" style="1" customWidth="1"/>
    <col min="16" max="16" width="13.7109375" style="1" customWidth="1"/>
    <col min="17" max="17" width="3" style="1" customWidth="1"/>
    <col min="18" max="18" width="13.7109375" style="1" customWidth="1"/>
    <col min="19" max="19" width="17.7109375" style="50" hidden="1" customWidth="1"/>
    <col min="20" max="20" width="37.140625" style="1" customWidth="1"/>
    <col min="21" max="21" width="13.7109375" style="1" customWidth="1"/>
    <col min="22" max="22" width="3" style="1" customWidth="1"/>
    <col min="23" max="23" width="13.7109375" style="1" customWidth="1"/>
    <col min="24" max="24" width="17.7109375" style="50" hidden="1" customWidth="1"/>
    <col min="25" max="25" width="37.140625" style="1" customWidth="1"/>
    <col min="26" max="26" width="13.7109375" style="1" customWidth="1"/>
    <col min="27" max="16384" width="11.42578125" style="1"/>
  </cols>
  <sheetData>
    <row r="1" spans="1:26" ht="18.75" x14ac:dyDescent="0.2">
      <c r="A1" s="841" t="s">
        <v>884</v>
      </c>
      <c r="B1" s="841"/>
      <c r="C1" s="841"/>
      <c r="D1" s="841"/>
      <c r="E1" s="841"/>
      <c r="F1" s="841"/>
      <c r="G1" s="841"/>
      <c r="H1" s="841"/>
      <c r="I1" s="841"/>
      <c r="J1" s="841"/>
      <c r="K1" s="841"/>
      <c r="L1" s="841"/>
      <c r="M1" s="841"/>
      <c r="N1" s="841"/>
      <c r="O1" s="841"/>
      <c r="P1" s="526"/>
      <c r="Q1" s="526"/>
      <c r="R1" s="526"/>
      <c r="S1" s="526"/>
      <c r="T1" s="526"/>
      <c r="U1" s="526"/>
      <c r="V1" s="526"/>
      <c r="W1" s="526"/>
      <c r="X1" s="526"/>
      <c r="Y1" s="526"/>
      <c r="Z1" s="526"/>
    </row>
    <row r="2" spans="1:26" x14ac:dyDescent="0.2">
      <c r="D2" s="397"/>
    </row>
    <row r="3" spans="1:26" ht="30" customHeight="1" x14ac:dyDescent="0.2">
      <c r="B3" s="839" t="s">
        <v>59</v>
      </c>
      <c r="C3" s="839" t="s">
        <v>60</v>
      </c>
      <c r="D3" s="399"/>
      <c r="E3" s="835" t="s">
        <v>889</v>
      </c>
      <c r="F3" s="835"/>
      <c r="G3" s="835"/>
      <c r="H3" s="835"/>
      <c r="I3" s="835"/>
      <c r="J3" s="2"/>
      <c r="L3" s="525"/>
      <c r="M3" s="835" t="s">
        <v>920</v>
      </c>
      <c r="N3" s="835"/>
      <c r="O3" s="835"/>
      <c r="P3" s="835"/>
      <c r="R3" s="835" t="s">
        <v>921</v>
      </c>
      <c r="S3" s="835"/>
      <c r="T3" s="835"/>
      <c r="U3" s="835"/>
      <c r="W3" s="835" t="s">
        <v>924</v>
      </c>
      <c r="X3" s="835"/>
      <c r="Y3" s="835"/>
      <c r="Z3" s="835"/>
    </row>
    <row r="4" spans="1:26" ht="58.5" customHeight="1" x14ac:dyDescent="0.2">
      <c r="B4" s="839"/>
      <c r="C4" s="839"/>
      <c r="D4" s="399"/>
      <c r="E4" s="98" t="s">
        <v>902</v>
      </c>
      <c r="F4" s="98" t="s">
        <v>61</v>
      </c>
      <c r="G4" s="76" t="s">
        <v>62</v>
      </c>
      <c r="H4" s="76" t="s">
        <v>63</v>
      </c>
      <c r="I4" s="76" t="s">
        <v>916</v>
      </c>
      <c r="J4" s="3"/>
      <c r="K4" s="75" t="s">
        <v>915</v>
      </c>
      <c r="L4" s="75" t="s">
        <v>673</v>
      </c>
      <c r="M4" s="424" t="s">
        <v>918</v>
      </c>
      <c r="N4" s="774" t="s">
        <v>896</v>
      </c>
      <c r="O4" s="75" t="s">
        <v>917</v>
      </c>
      <c r="P4" s="424" t="s">
        <v>919</v>
      </c>
      <c r="R4" s="424" t="s">
        <v>922</v>
      </c>
      <c r="S4" s="75" t="s">
        <v>896</v>
      </c>
      <c r="T4" s="75" t="s">
        <v>917</v>
      </c>
      <c r="U4" s="424" t="s">
        <v>923</v>
      </c>
      <c r="W4" s="424" t="s">
        <v>925</v>
      </c>
      <c r="X4" s="75" t="s">
        <v>896</v>
      </c>
      <c r="Y4" s="75" t="s">
        <v>917</v>
      </c>
      <c r="Z4" s="424" t="s">
        <v>926</v>
      </c>
    </row>
    <row r="5" spans="1:26" ht="7.5" customHeight="1" x14ac:dyDescent="0.2">
      <c r="A5" s="2"/>
      <c r="B5" s="2"/>
      <c r="C5" s="2"/>
      <c r="D5" s="399"/>
      <c r="E5" s="415"/>
      <c r="F5" s="3"/>
      <c r="G5" s="3"/>
      <c r="H5" s="3"/>
      <c r="I5" s="3"/>
      <c r="J5" s="3"/>
      <c r="K5" s="47"/>
      <c r="L5" s="3"/>
      <c r="M5" s="3"/>
      <c r="P5" s="3"/>
      <c r="R5" s="3"/>
      <c r="U5" s="3"/>
      <c r="W5" s="3"/>
      <c r="Z5" s="3"/>
    </row>
    <row r="6" spans="1:26" ht="71.25" customHeight="1" x14ac:dyDescent="0.2">
      <c r="A6" s="843" t="s">
        <v>92</v>
      </c>
      <c r="B6" s="840" t="s">
        <v>93</v>
      </c>
      <c r="C6" s="836" t="s">
        <v>640</v>
      </c>
      <c r="D6" s="399">
        <v>1</v>
      </c>
      <c r="E6" s="858" t="s">
        <v>67</v>
      </c>
      <c r="F6" s="445" t="s">
        <v>68</v>
      </c>
      <c r="G6" s="72" t="s">
        <v>94</v>
      </c>
      <c r="H6" s="72" t="str">
        <f>IF(VLOOKUP(D6,'Indicateurs - en cours'!$C$27:$J$49,8,FALSE)&lt;&gt;0,VLOOKUP(D6,'Indicateurs - en cours'!$C$27:$J$49,8,FALSE),"")</f>
        <v>Date d'engagement de la collectivité dans un PLPDMA</v>
      </c>
      <c r="I6" s="446" t="s">
        <v>95</v>
      </c>
      <c r="J6" s="3"/>
      <c r="K6" s="878">
        <v>10</v>
      </c>
      <c r="L6" s="425">
        <f>INDEX('Note finale'!$B$5:$AA$26,MATCH(A6,'Note finale'!$B$5:$B$26,0),MATCH('Axe 2'!E6,'Note finale'!$B$4:$AA$4,0))</f>
        <v>2.7675276752767526E-3</v>
      </c>
      <c r="M6" s="598"/>
      <c r="N6" s="775">
        <f>L6*M6</f>
        <v>0</v>
      </c>
      <c r="O6" s="600"/>
      <c r="P6" s="601"/>
      <c r="R6" s="612"/>
      <c r="S6" s="775">
        <f>L6*R6</f>
        <v>0</v>
      </c>
      <c r="T6" s="600"/>
      <c r="U6" s="601"/>
      <c r="W6" s="612"/>
      <c r="X6" s="775">
        <f>L6*W6</f>
        <v>0</v>
      </c>
      <c r="Y6" s="600"/>
      <c r="Z6" s="601"/>
    </row>
    <row r="7" spans="1:26" ht="15" customHeight="1" x14ac:dyDescent="0.2">
      <c r="A7" s="843"/>
      <c r="B7" s="840"/>
      <c r="C7" s="836"/>
      <c r="D7" s="399">
        <v>2</v>
      </c>
      <c r="E7" s="859"/>
      <c r="F7" s="441" t="s">
        <v>68</v>
      </c>
      <c r="G7" s="13" t="s">
        <v>96</v>
      </c>
      <c r="H7" s="13" t="str">
        <f>IF(VLOOKUP(D7,'Indicateurs - en cours'!$C$27:$J$49,8,FALSE)&lt;&gt;0,VLOOKUP(D7,'Indicateurs - en cours'!$C$27:$J$49,8,FALSE),"")</f>
        <v>Le PLPDMA est disponible sur SINOE</v>
      </c>
      <c r="I7" s="73"/>
      <c r="J7" s="3"/>
      <c r="K7" s="877"/>
      <c r="L7" s="426">
        <f>INDEX('Note finale'!$B$5:$AA$26,MATCH(A6,'Note finale'!$B$5:$B$26,0),MATCH('Axe 2'!E6,'Note finale'!$B$4:$AA$4,0))</f>
        <v>2.7675276752767526E-3</v>
      </c>
      <c r="M7" s="602"/>
      <c r="N7" s="776">
        <f t="shared" ref="N7:N70" si="0">L7*M7</f>
        <v>0</v>
      </c>
      <c r="O7" s="604"/>
      <c r="P7" s="605"/>
      <c r="R7" s="613"/>
      <c r="S7" s="776">
        <f t="shared" ref="S7:S70" si="1">L7*R7</f>
        <v>0</v>
      </c>
      <c r="T7" s="604"/>
      <c r="U7" s="605"/>
      <c r="W7" s="613"/>
      <c r="X7" s="776">
        <f t="shared" ref="X7:X70" si="2">L7*W7</f>
        <v>0</v>
      </c>
      <c r="Y7" s="604"/>
      <c r="Z7" s="605"/>
    </row>
    <row r="8" spans="1:26" ht="108" customHeight="1" x14ac:dyDescent="0.2">
      <c r="A8" s="843"/>
      <c r="B8" s="840"/>
      <c r="C8" s="836"/>
      <c r="D8" s="399">
        <v>3</v>
      </c>
      <c r="E8" s="855" t="s">
        <v>73</v>
      </c>
      <c r="F8" s="441" t="s">
        <v>68</v>
      </c>
      <c r="G8" s="13" t="s">
        <v>97</v>
      </c>
      <c r="H8" s="16" t="str">
        <f>IF(VLOOKUP(D8,'Indicateurs - en cours'!$C$27:$J$49,8,FALSE)&lt;&gt;0,VLOOKUP(D8,'Indicateurs - en cours'!$C$27:$J$49,8,FALSE),"")</f>
        <v>Nombre d'actions / typologie / an déployées.</v>
      </c>
      <c r="I8" s="277" t="s">
        <v>641</v>
      </c>
      <c r="J8" s="4"/>
      <c r="K8" s="877">
        <v>60</v>
      </c>
      <c r="L8" s="426">
        <f>INDEX('Note finale'!$B$5:$AA$26,MATCH(A6,'Note finale'!$B$5:$B$26,0),MATCH('Axe 2'!E8,'Note finale'!$B$4:$AA$4,0))</f>
        <v>1.6605166051660517E-2</v>
      </c>
      <c r="M8" s="602"/>
      <c r="N8" s="776">
        <f t="shared" si="0"/>
        <v>0</v>
      </c>
      <c r="O8" s="604"/>
      <c r="P8" s="605"/>
      <c r="R8" s="613"/>
      <c r="S8" s="776">
        <f t="shared" si="1"/>
        <v>0</v>
      </c>
      <c r="T8" s="604"/>
      <c r="U8" s="605"/>
      <c r="W8" s="613"/>
      <c r="X8" s="776">
        <f t="shared" si="2"/>
        <v>0</v>
      </c>
      <c r="Y8" s="604"/>
      <c r="Z8" s="605"/>
    </row>
    <row r="9" spans="1:26" ht="25.5" x14ac:dyDescent="0.2">
      <c r="A9" s="843"/>
      <c r="B9" s="840"/>
      <c r="C9" s="836"/>
      <c r="D9" s="399">
        <v>4</v>
      </c>
      <c r="E9" s="859"/>
      <c r="F9" s="441" t="s">
        <v>68</v>
      </c>
      <c r="G9" s="6" t="s">
        <v>99</v>
      </c>
      <c r="H9" s="13" t="str">
        <f>IF(VLOOKUP(D9,'Indicateurs - en cours'!$C$27:$J$49,8,FALSE)&lt;&gt;0,VLOOKUP(D9,'Indicateurs - en cours'!$C$27:$J$49,8,FALSE),"")</f>
        <v/>
      </c>
      <c r="I9" s="447"/>
      <c r="J9" s="4"/>
      <c r="K9" s="877"/>
      <c r="L9" s="426">
        <f>INDEX('Note finale'!$B$5:$AA$26,MATCH(A6,'Note finale'!$B$5:$B$26,0),MATCH('Axe 2'!E8,'Note finale'!$B$4:$AA$4,0))</f>
        <v>1.6605166051660517E-2</v>
      </c>
      <c r="M9" s="602"/>
      <c r="N9" s="776">
        <f t="shared" si="0"/>
        <v>0</v>
      </c>
      <c r="O9" s="606"/>
      <c r="P9" s="605"/>
      <c r="R9" s="613"/>
      <c r="S9" s="776">
        <f t="shared" si="1"/>
        <v>0</v>
      </c>
      <c r="T9" s="606"/>
      <c r="U9" s="605"/>
      <c r="W9" s="613"/>
      <c r="X9" s="776">
        <f t="shared" si="2"/>
        <v>0</v>
      </c>
      <c r="Y9" s="606"/>
      <c r="Z9" s="605"/>
    </row>
    <row r="10" spans="1:26" ht="55.5" customHeight="1" x14ac:dyDescent="0.2">
      <c r="A10" s="843"/>
      <c r="B10" s="840"/>
      <c r="C10" s="836"/>
      <c r="D10" s="399">
        <v>5</v>
      </c>
      <c r="E10" s="855" t="s">
        <v>75</v>
      </c>
      <c r="F10" s="441" t="s">
        <v>68</v>
      </c>
      <c r="G10" s="6" t="s">
        <v>590</v>
      </c>
      <c r="H10" s="13" t="str">
        <f>IF(VLOOKUP(D10,'Indicateurs - en cours'!$C$27:$J$49,8,FALSE)&lt;&gt;0,VLOOKUP(D10,'Indicateurs - en cours'!$C$27:$J$49,8,FALSE),"")</f>
        <v>Quantités annuelles produites OMR, OMA et DMA et évolution sur les 5 dernières années</v>
      </c>
      <c r="I10" s="447" t="s">
        <v>100</v>
      </c>
      <c r="J10" s="4"/>
      <c r="K10" s="853">
        <v>30</v>
      </c>
      <c r="L10" s="426">
        <f>INDEX('Note finale'!$B$5:$AA$26,MATCH(A6,'Note finale'!$B$5:$B$26,0),MATCH('Axe 2'!E10,'Note finale'!$B$4:$AA$4,0))</f>
        <v>8.3025830258302586E-3</v>
      </c>
      <c r="M10" s="602"/>
      <c r="N10" s="776">
        <f t="shared" si="0"/>
        <v>0</v>
      </c>
      <c r="O10" s="607"/>
      <c r="P10" s="605"/>
      <c r="R10" s="613"/>
      <c r="S10" s="776">
        <f t="shared" si="1"/>
        <v>0</v>
      </c>
      <c r="T10" s="607"/>
      <c r="U10" s="605"/>
      <c r="W10" s="613"/>
      <c r="X10" s="776">
        <f t="shared" si="2"/>
        <v>0</v>
      </c>
      <c r="Y10" s="607"/>
      <c r="Z10" s="605"/>
    </row>
    <row r="11" spans="1:26" ht="83.25" customHeight="1" x14ac:dyDescent="0.2">
      <c r="A11" s="843"/>
      <c r="B11" s="840"/>
      <c r="C11" s="836"/>
      <c r="D11" s="399">
        <v>6</v>
      </c>
      <c r="E11" s="857"/>
      <c r="F11" s="448" t="s">
        <v>68</v>
      </c>
      <c r="G11" s="7" t="s">
        <v>101</v>
      </c>
      <c r="H11" s="449" t="str">
        <f>IF(VLOOKUP(D11,'Indicateurs - en cours'!$C$27:$J$49,8,FALSE)&lt;&gt;0,VLOOKUP(D11,'Indicateurs - en cours'!$C$27:$J$49,8,FALSE),"")</f>
        <v>Date de la dernière reconduction du dernier PLPDMA</v>
      </c>
      <c r="I11" s="8"/>
      <c r="J11" s="4"/>
      <c r="K11" s="854"/>
      <c r="L11" s="427">
        <f>INDEX('Note finale'!$B$5:$AA$26,MATCH(A6,'Note finale'!$B$5:$B$26,0),MATCH('Axe 2'!E10,'Note finale'!$B$4:$AA$4,0))</f>
        <v>8.3025830258302586E-3</v>
      </c>
      <c r="M11" s="608"/>
      <c r="N11" s="777">
        <f t="shared" si="0"/>
        <v>0</v>
      </c>
      <c r="O11" s="610"/>
      <c r="P11" s="611"/>
      <c r="R11" s="614"/>
      <c r="S11" s="777">
        <f t="shared" si="1"/>
        <v>0</v>
      </c>
      <c r="T11" s="610"/>
      <c r="U11" s="611"/>
      <c r="W11" s="614"/>
      <c r="X11" s="777">
        <f t="shared" si="2"/>
        <v>0</v>
      </c>
      <c r="Y11" s="610"/>
      <c r="Z11" s="611"/>
    </row>
    <row r="12" spans="1:26" s="597" customFormat="1" ht="7.5" customHeight="1" x14ac:dyDescent="0.2">
      <c r="A12" s="590"/>
      <c r="B12" s="591"/>
      <c r="C12" s="592"/>
      <c r="D12" s="593"/>
      <c r="E12" s="590"/>
      <c r="F12" s="594"/>
      <c r="G12" s="595"/>
      <c r="H12" s="592"/>
      <c r="I12" s="592"/>
      <c r="J12" s="592"/>
      <c r="K12" s="615"/>
      <c r="L12" s="616"/>
      <c r="M12" s="617"/>
      <c r="N12" s="778"/>
      <c r="O12" s="618"/>
      <c r="P12" s="617"/>
      <c r="R12" s="617"/>
      <c r="S12" s="778"/>
      <c r="T12" s="618"/>
      <c r="U12" s="617"/>
      <c r="W12" s="617"/>
      <c r="X12" s="778"/>
      <c r="Y12" s="618"/>
      <c r="Z12" s="617"/>
    </row>
    <row r="13" spans="1:26" s="19" customFormat="1" ht="139.5" customHeight="1" x14ac:dyDescent="0.2">
      <c r="A13" s="843" t="s">
        <v>102</v>
      </c>
      <c r="B13" s="840" t="s">
        <v>103</v>
      </c>
      <c r="C13" s="836" t="s">
        <v>104</v>
      </c>
      <c r="D13" s="400">
        <v>7</v>
      </c>
      <c r="E13" s="858" t="s">
        <v>67</v>
      </c>
      <c r="F13" s="445" t="s">
        <v>68</v>
      </c>
      <c r="G13" s="450" t="s">
        <v>633</v>
      </c>
      <c r="H13" s="451" t="str">
        <f>IF(VLOOKUP(D13,'Indicateurs - en cours'!$C$27:$J$49,8,FALSE)&lt;&gt;0,VLOOKUP(D13,'Indicateurs - en cours'!$C$27:$J$49,8,FALSE),"")</f>
        <v/>
      </c>
      <c r="I13" s="452"/>
      <c r="J13" s="15"/>
      <c r="K13" s="860">
        <v>40</v>
      </c>
      <c r="L13" s="425">
        <f>INDEX('Note finale'!$B$5:$AA$26,MATCH($A$13,'Note finale'!$B$5:$B$26,0),MATCH('Axe 2'!$E$13,'Note finale'!$B$4:$AA$4,0))</f>
        <v>2.050020500205002E-3</v>
      </c>
      <c r="M13" s="598"/>
      <c r="N13" s="775">
        <f t="shared" si="0"/>
        <v>0</v>
      </c>
      <c r="O13" s="619"/>
      <c r="P13" s="601"/>
      <c r="Q13" s="1"/>
      <c r="R13" s="612"/>
      <c r="S13" s="775">
        <f t="shared" si="1"/>
        <v>0</v>
      </c>
      <c r="T13" s="619"/>
      <c r="U13" s="601"/>
      <c r="V13" s="1"/>
      <c r="W13" s="612"/>
      <c r="X13" s="775">
        <f t="shared" si="2"/>
        <v>0</v>
      </c>
      <c r="Y13" s="619"/>
      <c r="Z13" s="601"/>
    </row>
    <row r="14" spans="1:26" s="19" customFormat="1" ht="51" x14ac:dyDescent="0.2">
      <c r="A14" s="843"/>
      <c r="B14" s="840"/>
      <c r="C14" s="836"/>
      <c r="D14" s="400">
        <v>8</v>
      </c>
      <c r="E14" s="856"/>
      <c r="F14" s="441" t="s">
        <v>68</v>
      </c>
      <c r="G14" s="453" t="s">
        <v>105</v>
      </c>
      <c r="H14" s="454" t="str">
        <f>IF(VLOOKUP(D14,'Indicateurs - en cours'!$C$27:$J$49,8,FALSE)&lt;&gt;0,VLOOKUP(D14,'Indicateurs - en cours'!$C$27:$J$49,8,FALSE),"")</f>
        <v>Flux de déchets collectés (OMR et Recyclables)</v>
      </c>
      <c r="I14" s="455"/>
      <c r="J14" s="15"/>
      <c r="K14" s="853"/>
      <c r="L14" s="426">
        <f>INDEX('Note finale'!$B$5:$AA$26,MATCH($A$13,'Note finale'!$B$5:$B$26,0),MATCH('Axe 2'!$E$13,'Note finale'!$B$4:$AA$4,0))</f>
        <v>2.050020500205002E-3</v>
      </c>
      <c r="M14" s="602"/>
      <c r="N14" s="776">
        <f t="shared" si="0"/>
        <v>0</v>
      </c>
      <c r="O14" s="606"/>
      <c r="P14" s="605"/>
      <c r="Q14" s="1"/>
      <c r="R14" s="613"/>
      <c r="S14" s="776">
        <f t="shared" si="1"/>
        <v>0</v>
      </c>
      <c r="T14" s="606"/>
      <c r="U14" s="605"/>
      <c r="V14" s="1"/>
      <c r="W14" s="613"/>
      <c r="X14" s="776">
        <f t="shared" si="2"/>
        <v>0</v>
      </c>
      <c r="Y14" s="606"/>
      <c r="Z14" s="605"/>
    </row>
    <row r="15" spans="1:26" s="19" customFormat="1" ht="63.75" x14ac:dyDescent="0.2">
      <c r="A15" s="843"/>
      <c r="B15" s="840"/>
      <c r="C15" s="836"/>
      <c r="D15" s="400">
        <v>9</v>
      </c>
      <c r="E15" s="856"/>
      <c r="F15" s="441" t="s">
        <v>68</v>
      </c>
      <c r="G15" s="453" t="s">
        <v>106</v>
      </c>
      <c r="H15" s="454" t="str">
        <f>IF(VLOOKUP(D15,'Indicateurs - en cours'!$C$27:$J$49,8,FALSE)&lt;&gt;0,VLOOKUP(D15,'Indicateurs - en cours'!$C$27:$J$49,8,FALSE),"")</f>
        <v>% de la population desservie en collecte des emballages ménagers et des papiers graphiques selon un des schémas harmonisés recommandés par l'ADEME et avec les couleurs des contenants associés.</v>
      </c>
      <c r="I15" s="456" t="s">
        <v>625</v>
      </c>
      <c r="J15" s="15"/>
      <c r="K15" s="853"/>
      <c r="L15" s="426">
        <f>INDEX('Note finale'!$B$5:$AA$26,MATCH($A$13,'Note finale'!$B$5:$B$26,0),MATCH('Axe 2'!$E$13,'Note finale'!$B$4:$AA$4,0))</f>
        <v>2.050020500205002E-3</v>
      </c>
      <c r="M15" s="602"/>
      <c r="N15" s="776">
        <f t="shared" si="0"/>
        <v>0</v>
      </c>
      <c r="O15" s="620"/>
      <c r="P15" s="605"/>
      <c r="Q15" s="1"/>
      <c r="R15" s="613"/>
      <c r="S15" s="776">
        <f t="shared" si="1"/>
        <v>0</v>
      </c>
      <c r="T15" s="620"/>
      <c r="U15" s="605"/>
      <c r="V15" s="1"/>
      <c r="W15" s="613"/>
      <c r="X15" s="776">
        <f t="shared" si="2"/>
        <v>0</v>
      </c>
      <c r="Y15" s="620"/>
      <c r="Z15" s="605"/>
    </row>
    <row r="16" spans="1:26" s="19" customFormat="1" ht="51" x14ac:dyDescent="0.2">
      <c r="A16" s="843"/>
      <c r="B16" s="840"/>
      <c r="C16" s="836"/>
      <c r="D16" s="400">
        <v>10</v>
      </c>
      <c r="E16" s="856"/>
      <c r="F16" s="441" t="s">
        <v>68</v>
      </c>
      <c r="G16" s="453" t="s">
        <v>107</v>
      </c>
      <c r="H16" s="454" t="str">
        <f>IF(VLOOKUP(D16,'Indicateurs - en cours'!$C$27:$J$49,8,FALSE)&lt;&gt;0,VLOOKUP(D16,'Indicateurs - en cours'!$C$27:$J$49,8,FALSE),"")</f>
        <v>Nombre de déchèteries avec zone de réemploi par habitant</v>
      </c>
      <c r="I16" s="455"/>
      <c r="J16" s="15"/>
      <c r="K16" s="853"/>
      <c r="L16" s="426">
        <f>INDEX('Note finale'!$B$5:$AA$26,MATCH($A$13,'Note finale'!$B$5:$B$26,0),MATCH('Axe 2'!$E$13,'Note finale'!$B$4:$AA$4,0))</f>
        <v>2.050020500205002E-3</v>
      </c>
      <c r="M16" s="621"/>
      <c r="N16" s="776">
        <f t="shared" si="0"/>
        <v>0</v>
      </c>
      <c r="O16" s="606"/>
      <c r="P16" s="622"/>
      <c r="Q16" s="1"/>
      <c r="R16" s="627"/>
      <c r="S16" s="776">
        <f t="shared" si="1"/>
        <v>0</v>
      </c>
      <c r="T16" s="606"/>
      <c r="U16" s="622"/>
      <c r="V16" s="1"/>
      <c r="W16" s="627"/>
      <c r="X16" s="776">
        <f t="shared" si="2"/>
        <v>0</v>
      </c>
      <c r="Y16" s="606"/>
      <c r="Z16" s="622"/>
    </row>
    <row r="17" spans="1:26" s="19" customFormat="1" ht="51" x14ac:dyDescent="0.2">
      <c r="A17" s="843"/>
      <c r="B17" s="840"/>
      <c r="C17" s="836"/>
      <c r="D17" s="400">
        <v>11</v>
      </c>
      <c r="E17" s="856"/>
      <c r="F17" s="441" t="s">
        <v>68</v>
      </c>
      <c r="G17" s="453" t="s">
        <v>628</v>
      </c>
      <c r="H17" s="454" t="str">
        <f>IF(VLOOKUP(D17,'Indicateurs - en cours'!$C$27:$J$49,8,FALSE)&lt;&gt;0,VLOOKUP(D17,'Indicateurs - en cours'!$C$27:$J$49,8,FALSE),"")</f>
        <v>Nombre de déchèteries acceptant les DDS, les DEE et le mobilier</v>
      </c>
      <c r="I17" s="455"/>
      <c r="J17" s="15"/>
      <c r="K17" s="853"/>
      <c r="L17" s="426">
        <f>INDEX('Note finale'!$B$5:$AA$26,MATCH($A$13,'Note finale'!$B$5:$B$26,0),MATCH('Axe 2'!$E$13,'Note finale'!$B$4:$AA$4,0))</f>
        <v>2.050020500205002E-3</v>
      </c>
      <c r="M17" s="602"/>
      <c r="N17" s="776">
        <f t="shared" si="0"/>
        <v>0</v>
      </c>
      <c r="O17" s="623"/>
      <c r="P17" s="605"/>
      <c r="Q17" s="1"/>
      <c r="R17" s="613"/>
      <c r="S17" s="776">
        <f t="shared" si="1"/>
        <v>0</v>
      </c>
      <c r="T17" s="623"/>
      <c r="U17" s="605"/>
      <c r="V17" s="1"/>
      <c r="W17" s="613"/>
      <c r="X17" s="776">
        <f t="shared" si="2"/>
        <v>0</v>
      </c>
      <c r="Y17" s="623"/>
      <c r="Z17" s="605"/>
    </row>
    <row r="18" spans="1:26" s="19" customFormat="1" ht="108.75" customHeight="1" x14ac:dyDescent="0.2">
      <c r="A18" s="843"/>
      <c r="B18" s="840"/>
      <c r="C18" s="836"/>
      <c r="D18" s="400">
        <v>12</v>
      </c>
      <c r="E18" s="856"/>
      <c r="F18" s="441" t="s">
        <v>68</v>
      </c>
      <c r="G18" s="457" t="s">
        <v>108</v>
      </c>
      <c r="H18" s="454" t="str">
        <f>IF(VLOOKUP(D18,'Indicateurs - en cours'!$C$27:$J$49,8,FALSE)&lt;&gt;0,VLOOKUP(D18,'Indicateurs - en cours'!$C$27:$J$49,8,FALSE),"")</f>
        <v>Part des chauffeurs formés à l'écoconduite</v>
      </c>
      <c r="I18" s="455"/>
      <c r="J18" s="15"/>
      <c r="K18" s="853"/>
      <c r="L18" s="426">
        <f>INDEX('Note finale'!$B$5:$AA$26,MATCH($A$13,'Note finale'!$B$5:$B$26,0),MATCH('Axe 2'!$E$13,'Note finale'!$B$4:$AA$4,0))</f>
        <v>2.050020500205002E-3</v>
      </c>
      <c r="M18" s="624"/>
      <c r="N18" s="776">
        <f t="shared" si="0"/>
        <v>0</v>
      </c>
      <c r="O18" s="607"/>
      <c r="P18" s="625"/>
      <c r="Q18" s="1"/>
      <c r="R18" s="628"/>
      <c r="S18" s="776">
        <f t="shared" si="1"/>
        <v>0</v>
      </c>
      <c r="T18" s="607"/>
      <c r="U18" s="625"/>
      <c r="V18" s="1"/>
      <c r="W18" s="628"/>
      <c r="X18" s="776">
        <f t="shared" si="2"/>
        <v>0</v>
      </c>
      <c r="Y18" s="607"/>
      <c r="Z18" s="625"/>
    </row>
    <row r="19" spans="1:26" s="19" customFormat="1" ht="57.75" customHeight="1" x14ac:dyDescent="0.2">
      <c r="A19" s="843"/>
      <c r="B19" s="840"/>
      <c r="C19" s="836"/>
      <c r="D19" s="400">
        <v>13</v>
      </c>
      <c r="E19" s="856"/>
      <c r="F19" s="441" t="s">
        <v>68</v>
      </c>
      <c r="G19" s="458" t="s">
        <v>591</v>
      </c>
      <c r="H19" s="459" t="str">
        <f>IF(VLOOKUP(D19,'Indicateurs - en cours'!$C$27:$J$49,8,FALSE)&lt;&gt;0,VLOOKUP(D19,'Indicateurs - en cours'!$C$27:$J$49,8,FALSE),"")</f>
        <v>Rapport d'étude préalable à la mise en place d'un dispositif de tri à la source
Si l'étude a déjà eu lieu : % de la population disposant d'une solution pour trier ses biodéchets</v>
      </c>
      <c r="I19" s="455"/>
      <c r="J19" s="15"/>
      <c r="K19" s="853"/>
      <c r="L19" s="426">
        <f>INDEX('Note finale'!$B$5:$AA$26,MATCH($A$13,'Note finale'!$B$5:$B$26,0),MATCH('Axe 2'!$E$13,'Note finale'!$B$4:$AA$4,0))</f>
        <v>2.050020500205002E-3</v>
      </c>
      <c r="M19" s="624"/>
      <c r="N19" s="776">
        <f t="shared" si="0"/>
        <v>0</v>
      </c>
      <c r="O19" s="626"/>
      <c r="P19" s="625"/>
      <c r="Q19" s="1"/>
      <c r="R19" s="628"/>
      <c r="S19" s="776">
        <f t="shared" si="1"/>
        <v>0</v>
      </c>
      <c r="T19" s="626"/>
      <c r="U19" s="625"/>
      <c r="V19" s="1"/>
      <c r="W19" s="628"/>
      <c r="X19" s="776">
        <f t="shared" si="2"/>
        <v>0</v>
      </c>
      <c r="Y19" s="626"/>
      <c r="Z19" s="625"/>
    </row>
    <row r="20" spans="1:26" s="19" customFormat="1" ht="51" x14ac:dyDescent="0.2">
      <c r="A20" s="843"/>
      <c r="B20" s="840"/>
      <c r="C20" s="836"/>
      <c r="D20" s="400">
        <v>14</v>
      </c>
      <c r="E20" s="856"/>
      <c r="F20" s="441" t="s">
        <v>68</v>
      </c>
      <c r="G20" s="457" t="s">
        <v>608</v>
      </c>
      <c r="H20" s="454" t="str">
        <f>IF(VLOOKUP(D20,'Indicateurs - en cours'!$C$27:$J$49,8,FALSE)&lt;&gt;0,VLOOKUP(D20,'Indicateurs - en cours'!$C$27:$J$49,8,FALSE),"")</f>
        <v>Nombre de visites des professionnels en déchèteries</v>
      </c>
      <c r="I20" s="455"/>
      <c r="J20" s="15"/>
      <c r="K20" s="853"/>
      <c r="L20" s="426">
        <f>INDEX('Note finale'!$B$5:$AA$26,MATCH($A$13,'Note finale'!$B$5:$B$26,0),MATCH('Axe 2'!$E$13,'Note finale'!$B$4:$AA$4,0))</f>
        <v>2.050020500205002E-3</v>
      </c>
      <c r="M20" s="621"/>
      <c r="N20" s="776">
        <f t="shared" si="0"/>
        <v>0</v>
      </c>
      <c r="O20" s="606"/>
      <c r="P20" s="622"/>
      <c r="Q20" s="1"/>
      <c r="R20" s="627"/>
      <c r="S20" s="776">
        <f t="shared" si="1"/>
        <v>0</v>
      </c>
      <c r="T20" s="606"/>
      <c r="U20" s="622"/>
      <c r="V20" s="1"/>
      <c r="W20" s="627"/>
      <c r="X20" s="776">
        <f t="shared" si="2"/>
        <v>0</v>
      </c>
      <c r="Y20" s="606"/>
      <c r="Z20" s="622"/>
    </row>
    <row r="21" spans="1:26" s="19" customFormat="1" ht="142.5" customHeight="1" x14ac:dyDescent="0.2">
      <c r="A21" s="843"/>
      <c r="B21" s="840"/>
      <c r="C21" s="836"/>
      <c r="D21" s="400">
        <v>15</v>
      </c>
      <c r="E21" s="859"/>
      <c r="F21" s="441" t="s">
        <v>68</v>
      </c>
      <c r="G21" s="460" t="s">
        <v>642</v>
      </c>
      <c r="H21" s="243" t="str">
        <f>IF(VLOOKUP(D21,'Indicateurs - en cours'!$C$27:$J$49,8,FALSE)&lt;&gt;0,VLOOKUP(D21,'Indicateurs - en cours'!$C$27:$J$49,8,FALSE),"")</f>
        <v/>
      </c>
      <c r="I21" s="461" t="s">
        <v>527</v>
      </c>
      <c r="J21" s="15"/>
      <c r="K21" s="853"/>
      <c r="L21" s="426">
        <f>INDEX('Note finale'!$B$5:$AA$26,MATCH($A$13,'Note finale'!$B$5:$B$26,0),MATCH('Axe 2'!$E$13,'Note finale'!$B$4:$AA$4,0))</f>
        <v>2.050020500205002E-3</v>
      </c>
      <c r="M21" s="602"/>
      <c r="N21" s="776">
        <f t="shared" si="0"/>
        <v>0</v>
      </c>
      <c r="O21" s="630"/>
      <c r="P21" s="605"/>
      <c r="Q21" s="1"/>
      <c r="R21" s="613"/>
      <c r="S21" s="776">
        <f t="shared" si="1"/>
        <v>0</v>
      </c>
      <c r="T21" s="630"/>
      <c r="U21" s="605"/>
      <c r="V21" s="1"/>
      <c r="W21" s="613"/>
      <c r="X21" s="776">
        <f t="shared" si="2"/>
        <v>0</v>
      </c>
      <c r="Y21" s="630"/>
      <c r="Z21" s="605"/>
    </row>
    <row r="22" spans="1:26" ht="75.75" customHeight="1" x14ac:dyDescent="0.2">
      <c r="A22" s="843"/>
      <c r="B22" s="840"/>
      <c r="C22" s="836"/>
      <c r="D22" s="400">
        <v>16</v>
      </c>
      <c r="E22" s="855" t="s">
        <v>73</v>
      </c>
      <c r="F22" s="441" t="s">
        <v>68</v>
      </c>
      <c r="G22" s="457" t="s">
        <v>110</v>
      </c>
      <c r="H22" s="243" t="str">
        <f>IF(VLOOKUP(D22,'Indicateurs - en cours'!$C$27:$J$49,8,FALSE)&lt;&gt;0,VLOOKUP(D22,'Indicateurs - en cours'!$C$27:$J$49,8,FALSE),"")</f>
        <v>Durée des tournées et quantité de déchets collectés en une tournée</v>
      </c>
      <c r="I22" s="11"/>
      <c r="J22" s="4"/>
      <c r="K22" s="853">
        <v>60</v>
      </c>
      <c r="L22" s="426">
        <f>INDEX('Note finale'!$B$5:$AA$26,MATCH($A$13,'Note finale'!$B$5:$B$26,0),MATCH('Axe 2'!$E$22,'Note finale'!$B$4:$AA$4,0))</f>
        <v>6.9188191881918819E-3</v>
      </c>
      <c r="M22" s="602"/>
      <c r="N22" s="776">
        <f t="shared" si="0"/>
        <v>0</v>
      </c>
      <c r="O22" s="607"/>
      <c r="P22" s="605"/>
      <c r="R22" s="613"/>
      <c r="S22" s="776">
        <f t="shared" si="1"/>
        <v>0</v>
      </c>
      <c r="T22" s="607"/>
      <c r="U22" s="605"/>
      <c r="W22" s="613"/>
      <c r="X22" s="776">
        <f t="shared" si="2"/>
        <v>0</v>
      </c>
      <c r="Y22" s="607"/>
      <c r="Z22" s="605"/>
    </row>
    <row r="23" spans="1:26" ht="15" customHeight="1" x14ac:dyDescent="0.2">
      <c r="A23" s="843"/>
      <c r="B23" s="840"/>
      <c r="C23" s="836"/>
      <c r="D23" s="400">
        <v>17</v>
      </c>
      <c r="E23" s="856"/>
      <c r="F23" s="441" t="s">
        <v>68</v>
      </c>
      <c r="G23" s="457" t="s">
        <v>111</v>
      </c>
      <c r="H23" s="6" t="str">
        <f>IF(VLOOKUP(D23,'Indicateurs - en cours'!$C$27:$J$49,8,FALSE)&lt;&gt;0,VLOOKUP(D23,'Indicateurs - en cours'!$C$27:$J$49,8,FALSE),"")</f>
        <v/>
      </c>
      <c r="I23" s="11"/>
      <c r="J23" s="4"/>
      <c r="K23" s="853"/>
      <c r="L23" s="426">
        <f>INDEX('Note finale'!$B$5:$AA$26,MATCH($A$13,'Note finale'!$B$5:$B$26,0),MATCH('Axe 2'!$E$22,'Note finale'!$B$4:$AA$4,0))</f>
        <v>6.9188191881918819E-3</v>
      </c>
      <c r="M23" s="602"/>
      <c r="N23" s="776">
        <f t="shared" si="0"/>
        <v>0</v>
      </c>
      <c r="O23" s="607"/>
      <c r="P23" s="605"/>
      <c r="R23" s="613"/>
      <c r="S23" s="776">
        <f t="shared" si="1"/>
        <v>0</v>
      </c>
      <c r="T23" s="607"/>
      <c r="U23" s="605"/>
      <c r="W23" s="613"/>
      <c r="X23" s="776">
        <f t="shared" si="2"/>
        <v>0</v>
      </c>
      <c r="Y23" s="607"/>
      <c r="Z23" s="605"/>
    </row>
    <row r="24" spans="1:26" ht="25.5" x14ac:dyDescent="0.2">
      <c r="A24" s="843"/>
      <c r="B24" s="840"/>
      <c r="C24" s="836"/>
      <c r="D24" s="400">
        <v>18</v>
      </c>
      <c r="E24" s="856"/>
      <c r="F24" s="441" t="s">
        <v>68</v>
      </c>
      <c r="G24" s="6" t="s">
        <v>112</v>
      </c>
      <c r="H24" s="454" t="str">
        <f>IF(VLOOKUP(D24,'Indicateurs - en cours'!$C$27:$J$49,8,FALSE)&lt;&gt;0,VLOOKUP(D24,'Indicateurs - en cours'!$C$27:$J$49,8,FALSE),"")</f>
        <v>Part de la flotte de véhicule de collecte en motorisation alternative</v>
      </c>
      <c r="I24" s="11"/>
      <c r="J24" s="4"/>
      <c r="K24" s="853"/>
      <c r="L24" s="426">
        <f>INDEX('Note finale'!$B$5:$AA$26,MATCH($A$13,'Note finale'!$B$5:$B$26,0),MATCH('Axe 2'!$E$22,'Note finale'!$B$4:$AA$4,0))</f>
        <v>6.9188191881918819E-3</v>
      </c>
      <c r="M24" s="602"/>
      <c r="N24" s="776">
        <f t="shared" si="0"/>
        <v>0</v>
      </c>
      <c r="O24" s="607"/>
      <c r="P24" s="605"/>
      <c r="R24" s="613"/>
      <c r="S24" s="776">
        <f t="shared" si="1"/>
        <v>0</v>
      </c>
      <c r="T24" s="607"/>
      <c r="U24" s="605"/>
      <c r="W24" s="613"/>
      <c r="X24" s="776">
        <f t="shared" si="2"/>
        <v>0</v>
      </c>
      <c r="Y24" s="607"/>
      <c r="Z24" s="605"/>
    </row>
    <row r="25" spans="1:26" ht="38.25" x14ac:dyDescent="0.2">
      <c r="A25" s="843"/>
      <c r="B25" s="840"/>
      <c r="C25" s="836"/>
      <c r="D25" s="400">
        <v>19</v>
      </c>
      <c r="E25" s="857"/>
      <c r="F25" s="448" t="s">
        <v>68</v>
      </c>
      <c r="G25" s="462" t="s">
        <v>648</v>
      </c>
      <c r="H25" s="7" t="str">
        <f>IF(VLOOKUP(D25,'Indicateurs - en cours'!$C$27:$J$49,8,FALSE)&lt;&gt;0,VLOOKUP(D25,'Indicateurs - en cours'!$C$27:$J$49,8,FALSE),"")</f>
        <v>Nombre de nouveaux services déployés</v>
      </c>
      <c r="I25" s="278" t="s">
        <v>114</v>
      </c>
      <c r="J25" s="12"/>
      <c r="K25" s="854"/>
      <c r="L25" s="427">
        <f>INDEX('Note finale'!$B$5:$AA$26,MATCH($A$13,'Note finale'!$B$5:$B$26,0),MATCH('Axe 2'!$E$22,'Note finale'!$B$4:$AA$4,0))</f>
        <v>6.9188191881918819E-3</v>
      </c>
      <c r="M25" s="633"/>
      <c r="N25" s="777">
        <f t="shared" si="0"/>
        <v>0</v>
      </c>
      <c r="O25" s="632"/>
      <c r="P25" s="631"/>
      <c r="R25" s="629"/>
      <c r="S25" s="777">
        <f t="shared" si="1"/>
        <v>0</v>
      </c>
      <c r="T25" s="632"/>
      <c r="U25" s="631"/>
      <c r="W25" s="629"/>
      <c r="X25" s="777">
        <f t="shared" si="2"/>
        <v>0</v>
      </c>
      <c r="Y25" s="632"/>
      <c r="Z25" s="631"/>
    </row>
    <row r="26" spans="1:26" s="597" customFormat="1" ht="7.5" customHeight="1" x14ac:dyDescent="0.2">
      <c r="A26" s="590"/>
      <c r="B26" s="591"/>
      <c r="C26" s="592"/>
      <c r="D26" s="593"/>
      <c r="E26" s="590"/>
      <c r="F26" s="594"/>
      <c r="G26" s="595"/>
      <c r="H26" s="592"/>
      <c r="I26" s="634"/>
      <c r="J26" s="592"/>
      <c r="K26" s="635"/>
      <c r="L26" s="636"/>
      <c r="M26" s="638"/>
      <c r="N26" s="638"/>
      <c r="O26" s="640"/>
      <c r="P26" s="638"/>
      <c r="Q26" s="637"/>
      <c r="R26" s="638"/>
      <c r="S26" s="638"/>
      <c r="T26" s="640"/>
      <c r="U26" s="638"/>
      <c r="V26" s="637"/>
      <c r="W26" s="638"/>
      <c r="X26" s="638"/>
      <c r="Y26" s="640"/>
      <c r="Z26" s="638"/>
    </row>
    <row r="27" spans="1:26" ht="68.25" customHeight="1" x14ac:dyDescent="0.2">
      <c r="A27" s="843" t="s">
        <v>115</v>
      </c>
      <c r="B27" s="840" t="s">
        <v>116</v>
      </c>
      <c r="C27" s="836" t="s">
        <v>117</v>
      </c>
      <c r="D27" s="400">
        <v>20</v>
      </c>
      <c r="E27" s="861" t="s">
        <v>67</v>
      </c>
      <c r="F27" s="146" t="s">
        <v>68</v>
      </c>
      <c r="G27" s="77" t="s">
        <v>118</v>
      </c>
      <c r="H27" s="274" t="str">
        <f>IF(VLOOKUP(D27,'Indicateurs - en cours'!$C$27:$J$49,8,FALSE)&lt;&gt;0,VLOOKUP(D27,'Indicateurs - en cours'!$C$27:$J$49,8,FALSE),"")</f>
        <v>évolution du % de valorisation matière et organique des DMA, en comparaison avec la moyenne nationale de 39% (2011)</v>
      </c>
      <c r="I27" s="96" t="s">
        <v>885</v>
      </c>
      <c r="J27" s="4"/>
      <c r="K27" s="860">
        <v>30</v>
      </c>
      <c r="L27" s="425">
        <f>INDEX('Note finale'!$B$5:$AA$26,MATCH($A$27,'Note finale'!$B$5:$B$26,0),MATCH('Axe 2'!$E$27,'Note finale'!$B$4:$AA$4,0))</f>
        <v>4.1512915129151293E-3</v>
      </c>
      <c r="M27" s="641"/>
      <c r="N27" s="775">
        <f t="shared" si="0"/>
        <v>0</v>
      </c>
      <c r="O27" s="642"/>
      <c r="P27" s="643"/>
      <c r="R27" s="647"/>
      <c r="S27" s="775">
        <f t="shared" si="1"/>
        <v>0</v>
      </c>
      <c r="T27" s="642"/>
      <c r="U27" s="643"/>
      <c r="W27" s="647"/>
      <c r="X27" s="775">
        <f t="shared" si="2"/>
        <v>0</v>
      </c>
      <c r="Y27" s="642"/>
      <c r="Z27" s="643"/>
    </row>
    <row r="28" spans="1:26" ht="292.5" customHeight="1" x14ac:dyDescent="0.2">
      <c r="A28" s="843"/>
      <c r="B28" s="840"/>
      <c r="C28" s="836"/>
      <c r="D28" s="400">
        <v>21</v>
      </c>
      <c r="E28" s="862"/>
      <c r="F28" s="147" t="s">
        <v>68</v>
      </c>
      <c r="G28" s="82" t="s">
        <v>957</v>
      </c>
      <c r="H28" s="279" t="str">
        <f>IF(VLOOKUP(D28,'Indicateurs - en cours'!$C$27:$J$49,8,FALSE)&lt;&gt;0,VLOOKUP(D28,'Indicateurs - en cours'!$C$27:$J$49,8,FALSE),"")</f>
        <v>Présence d'un rapport d'étude ou d'une étude territoriale biodéchets (démarche CONCERTO)</v>
      </c>
      <c r="I28" s="83" t="s">
        <v>119</v>
      </c>
      <c r="J28" s="4"/>
      <c r="K28" s="853"/>
      <c r="L28" s="426">
        <f>INDEX('Note finale'!$B$5:$AA$26,MATCH($A$27,'Note finale'!$B$5:$B$26,0),MATCH('Axe 2'!$E$27,'Note finale'!$B$4:$AA$4,0))</f>
        <v>4.1512915129151293E-3</v>
      </c>
      <c r="M28" s="644"/>
      <c r="N28" s="776">
        <f t="shared" si="0"/>
        <v>0</v>
      </c>
      <c r="O28" s="606"/>
      <c r="P28" s="645"/>
      <c r="R28" s="648"/>
      <c r="S28" s="776">
        <f t="shared" si="1"/>
        <v>0</v>
      </c>
      <c r="T28" s="606"/>
      <c r="U28" s="645"/>
      <c r="W28" s="648"/>
      <c r="X28" s="776">
        <f t="shared" si="2"/>
        <v>0</v>
      </c>
      <c r="Y28" s="606"/>
      <c r="Z28" s="645"/>
    </row>
    <row r="29" spans="1:26" ht="38.25" x14ac:dyDescent="0.2">
      <c r="A29" s="843"/>
      <c r="B29" s="840"/>
      <c r="C29" s="836"/>
      <c r="D29" s="400">
        <v>22</v>
      </c>
      <c r="E29" s="862"/>
      <c r="F29" s="147" t="s">
        <v>68</v>
      </c>
      <c r="G29" s="252" t="s">
        <v>614</v>
      </c>
      <c r="H29" s="273" t="str">
        <f>IF(VLOOKUP(D29,'Indicateurs - en cours'!$C$27:$J$49,8,FALSE)&lt;&gt;0,VLOOKUP(D29,'Indicateurs - en cours'!$C$27:$J$49,8,FALSE),"")</f>
        <v>Tonnages de déchets verts collectés chez l'habitant et tonnage de biodéchets alimentaires collectés chez les gros producteurs</v>
      </c>
      <c r="I29" s="272" t="s">
        <v>121</v>
      </c>
      <c r="J29" s="4"/>
      <c r="K29" s="853"/>
      <c r="L29" s="426">
        <f>INDEX('Note finale'!$B$5:$AA$26,MATCH($A$27,'Note finale'!$B$5:$B$26,0),MATCH('Axe 2'!$E$27,'Note finale'!$B$4:$AA$4,0))</f>
        <v>4.1512915129151293E-3</v>
      </c>
      <c r="M29" s="644"/>
      <c r="N29" s="776">
        <f t="shared" si="0"/>
        <v>0</v>
      </c>
      <c r="O29" s="646"/>
      <c r="P29" s="645"/>
      <c r="R29" s="648"/>
      <c r="S29" s="776">
        <f t="shared" si="1"/>
        <v>0</v>
      </c>
      <c r="T29" s="646"/>
      <c r="U29" s="645"/>
      <c r="W29" s="648"/>
      <c r="X29" s="776">
        <f t="shared" si="2"/>
        <v>0</v>
      </c>
      <c r="Y29" s="646"/>
      <c r="Z29" s="645"/>
    </row>
    <row r="30" spans="1:26" ht="38.25" x14ac:dyDescent="0.2">
      <c r="A30" s="843"/>
      <c r="B30" s="840"/>
      <c r="C30" s="836"/>
      <c r="D30" s="400">
        <v>23</v>
      </c>
      <c r="E30" s="863"/>
      <c r="F30" s="147" t="s">
        <v>68</v>
      </c>
      <c r="G30" s="252" t="s">
        <v>615</v>
      </c>
      <c r="H30" s="252" t="str">
        <f>IF(VLOOKUP(D30,'Indicateurs - en cours'!$C$27:$J$49,8,FALSE)&lt;&gt;0,VLOOKUP(D30,'Indicateurs - en cours'!$C$27:$J$49,8,FALSE),"")</f>
        <v xml:space="preserve">Les biodéchets (déchets alimentaires et déchets verts) font l'objet d'une valorisation matière et/ou énergétique </v>
      </c>
      <c r="I30" s="272"/>
      <c r="J30" s="4"/>
      <c r="K30" s="853"/>
      <c r="L30" s="426">
        <f>INDEX('Note finale'!$B$5:$AA$26,MATCH($A$27,'Note finale'!$B$5:$B$26,0),MATCH('Axe 2'!$E$27,'Note finale'!$B$4:$AA$4,0))</f>
        <v>4.1512915129151293E-3</v>
      </c>
      <c r="M30" s="674"/>
      <c r="N30" s="776">
        <f t="shared" si="0"/>
        <v>0</v>
      </c>
      <c r="O30" s="606"/>
      <c r="P30" s="786"/>
      <c r="R30" s="800"/>
      <c r="S30" s="776">
        <f t="shared" si="1"/>
        <v>0</v>
      </c>
      <c r="T30" s="606"/>
      <c r="U30" s="786"/>
      <c r="W30" s="800"/>
      <c r="X30" s="776">
        <f t="shared" si="2"/>
        <v>0</v>
      </c>
      <c r="Y30" s="606"/>
      <c r="Z30" s="786"/>
    </row>
    <row r="31" spans="1:26" ht="15" customHeight="1" x14ac:dyDescent="0.2">
      <c r="A31" s="843"/>
      <c r="B31" s="840"/>
      <c r="C31" s="836"/>
      <c r="D31" s="400"/>
      <c r="E31" s="864" t="s">
        <v>73</v>
      </c>
      <c r="F31" s="147" t="s">
        <v>68</v>
      </c>
      <c r="G31" s="850" t="str">
        <f>IF(Préambule!$E$51="","Aucune installation n'est présente sur le territoire",HLOOKUP(Préambule!$E$51,'Liens axe 2'!$B$5:$S$13,1,FALSE))</f>
        <v>Stockage</v>
      </c>
      <c r="H31" s="851"/>
      <c r="I31" s="852"/>
      <c r="J31" s="4"/>
      <c r="K31" s="853">
        <v>70</v>
      </c>
      <c r="L31" s="426"/>
      <c r="M31" s="674"/>
      <c r="N31" s="776">
        <f t="shared" si="0"/>
        <v>0</v>
      </c>
      <c r="O31" s="606"/>
      <c r="P31" s="786"/>
      <c r="R31" s="800"/>
      <c r="S31" s="776">
        <f t="shared" si="1"/>
        <v>0</v>
      </c>
      <c r="T31" s="606"/>
      <c r="U31" s="786"/>
      <c r="W31" s="800"/>
      <c r="X31" s="776">
        <f t="shared" si="2"/>
        <v>0</v>
      </c>
      <c r="Y31" s="606"/>
      <c r="Z31" s="786"/>
    </row>
    <row r="32" spans="1:26" ht="84" customHeight="1" x14ac:dyDescent="0.2">
      <c r="A32" s="843"/>
      <c r="B32" s="840"/>
      <c r="C32" s="836"/>
      <c r="D32" s="400"/>
      <c r="E32" s="862"/>
      <c r="F32" s="147" t="s">
        <v>68</v>
      </c>
      <c r="G32" s="82" t="str">
        <f>IF(Préambule!$E$51="","",HLOOKUP(Préambule!$E$51,'Liens axe 2'!$B$5:$S$13,2,FALSE))</f>
        <v>Les flux résiduels d'OMr et assimilés de la collectivité sont traités dans une installation de stockage sur son territoire répondant aux dernières normes en vigueur.</v>
      </c>
      <c r="H32" s="82" t="str">
        <f>INDEX('Liens axe 2'!$B$5:$S$13,2,MATCH($G$31,'Liens axe 2'!$B$5:$S$5,0)+1)</f>
        <v>L'installation de stockage dans laquelle sont traités les flux résiduels d'OMR répond aux dernières normes en vigueur.</v>
      </c>
      <c r="I32" s="137">
        <f>INDEX('Liens axe 2'!$B$5:$T$13,2,MATCH($G$31,'Liens axe 2'!$B$5:$T$5,0)+2)</f>
        <v>0</v>
      </c>
      <c r="J32" s="4"/>
      <c r="K32" s="853"/>
      <c r="L32" s="426">
        <f>INDEX('Note finale'!$B$5:$AA$26,MATCH($A$27,'Note finale'!$B$5:$B$26,0),MATCH('Axe 2'!$E$31,'Note finale'!$B$4:$AA$4,0))</f>
        <v>3.8745387453874539E-3</v>
      </c>
      <c r="M32" s="674"/>
      <c r="N32" s="776">
        <f t="shared" si="0"/>
        <v>0</v>
      </c>
      <c r="O32" s="606"/>
      <c r="P32" s="786"/>
      <c r="R32" s="800"/>
      <c r="S32" s="776">
        <f t="shared" si="1"/>
        <v>0</v>
      </c>
      <c r="T32" s="606"/>
      <c r="U32" s="786"/>
      <c r="W32" s="800"/>
      <c r="X32" s="776">
        <f t="shared" si="2"/>
        <v>0</v>
      </c>
      <c r="Y32" s="606"/>
      <c r="Z32" s="786"/>
    </row>
    <row r="33" spans="1:26" ht="30" customHeight="1" x14ac:dyDescent="0.2">
      <c r="A33" s="843"/>
      <c r="B33" s="840"/>
      <c r="C33" s="836"/>
      <c r="D33" s="400"/>
      <c r="E33" s="862"/>
      <c r="F33" s="147" t="s">
        <v>68</v>
      </c>
      <c r="G33" s="82" t="str">
        <f>IF(Préambule!$E$51="","",HLOOKUP(Préambule!$E$51,'Liens axe 2'!$B$5:$S$13,3,FALSE))</f>
        <v>Les centres de stockage du territoire et ceux utilisés par la collectivité font l'objet d'une valorisation du biogaz par cogénération ou par injection.</v>
      </c>
      <c r="H33" s="82" t="str">
        <f>INDEX('Liens axe 2'!$B$5:$S$13,3,MATCH($G$31,'Liens axe 2'!$B$5:$S$5,0)+1)</f>
        <v>Quantité de biogaz produit et valorisé en injection ou en cogénération</v>
      </c>
      <c r="I33" s="137">
        <f>INDEX('Liens axe 2'!$B$5:$T$13,3,MATCH($G$31,'Liens axe 2'!$B$5:$T$5,0)+2)</f>
        <v>0</v>
      </c>
      <c r="J33" s="4"/>
      <c r="K33" s="853"/>
      <c r="L33" s="426">
        <f>INDEX('Note finale'!$B$5:$AA$26,MATCH($A$27,'Note finale'!$B$5:$B$26,0),MATCH('Axe 2'!$E$31,'Note finale'!$B$4:$AA$4,0))</f>
        <v>3.8745387453874539E-3</v>
      </c>
      <c r="M33" s="674"/>
      <c r="N33" s="776">
        <f t="shared" si="0"/>
        <v>0</v>
      </c>
      <c r="O33" s="606"/>
      <c r="P33" s="786"/>
      <c r="R33" s="800"/>
      <c r="S33" s="776">
        <f t="shared" si="1"/>
        <v>0</v>
      </c>
      <c r="T33" s="606"/>
      <c r="U33" s="786"/>
      <c r="W33" s="800"/>
      <c r="X33" s="776">
        <f t="shared" si="2"/>
        <v>0</v>
      </c>
      <c r="Y33" s="606"/>
      <c r="Z33" s="786"/>
    </row>
    <row r="34" spans="1:26" ht="64.5" customHeight="1" x14ac:dyDescent="0.2">
      <c r="A34" s="843"/>
      <c r="B34" s="840"/>
      <c r="C34" s="836"/>
      <c r="D34" s="400"/>
      <c r="E34" s="862"/>
      <c r="F34" s="147" t="s">
        <v>68</v>
      </c>
      <c r="G34" s="82" t="str">
        <f>IF(Préambule!$E$51="","",HLOOKUP(Préambule!$E$51,'Liens axe 2'!$B$5:$S$13,4,FALSE))</f>
        <v xml:space="preserve">Le captage du biogaz est optimisé : diminution des émissions en phase d'exploitation avant mise en œuvre des dispositifs définitifs de captage (captage précoce, optimisation de la durée d'exploitation des alvéoles ou casiers) et limitation des fuites aux parois du réseau, notamment par l'optimisation des dimensionnements des réseaux. </v>
      </c>
      <c r="H34" s="82" t="str">
        <f>INDEX('Liens axe 2'!$B$5:$S$13,4,MATCH($G$31,'Liens axe 2'!$B$5:$S$5,0)+1)</f>
        <v>Evolution sur les 5 dernières années du taux de captage de biogaz</v>
      </c>
      <c r="I34" s="137">
        <f>INDEX('Liens axe 2'!$B$5:$T$13,4,MATCH($G$31,'Liens axe 2'!$B$5:$T$5,0)+2)</f>
        <v>0</v>
      </c>
      <c r="J34" s="4"/>
      <c r="K34" s="853"/>
      <c r="L34" s="426">
        <f>INDEX('Note finale'!$B$5:$AA$26,MATCH($A$27,'Note finale'!$B$5:$B$26,0),MATCH('Axe 2'!$E$31,'Note finale'!$B$4:$AA$4,0))</f>
        <v>3.8745387453874539E-3</v>
      </c>
      <c r="M34" s="674"/>
      <c r="N34" s="776">
        <f t="shared" si="0"/>
        <v>0</v>
      </c>
      <c r="O34" s="606"/>
      <c r="P34" s="786"/>
      <c r="R34" s="800"/>
      <c r="S34" s="776">
        <f t="shared" si="1"/>
        <v>0</v>
      </c>
      <c r="T34" s="606"/>
      <c r="U34" s="786"/>
      <c r="W34" s="800"/>
      <c r="X34" s="776">
        <f t="shared" si="2"/>
        <v>0</v>
      </c>
      <c r="Y34" s="606"/>
      <c r="Z34" s="786"/>
    </row>
    <row r="35" spans="1:26" ht="42" customHeight="1" x14ac:dyDescent="0.2">
      <c r="A35" s="843"/>
      <c r="B35" s="840"/>
      <c r="C35" s="836"/>
      <c r="D35" s="400"/>
      <c r="E35" s="862"/>
      <c r="F35" s="147" t="s">
        <v>68</v>
      </c>
      <c r="G35" s="82" t="str">
        <f>IF(Préambule!$E$51="","",HLOOKUP(Préambule!$E$51,'Liens axe 2'!$B$5:$S$13,5,FALSE))</f>
        <v>Le taux de captage du biogaz et la valorisation du biogaz capté sont en amélioration par rapport aux années précédentes.</v>
      </c>
      <c r="H35" s="82" t="str">
        <f>INDEX('Liens axe 2'!$B$5:$S$13,5,MATCH($G$31,'Liens axe 2'!$B$5:$S$5,0)+1)</f>
        <v>Valorisation énergétique du biogaz (production de chaleur, cogénération ou injection dans le réseau gaz)</v>
      </c>
      <c r="I35" s="137">
        <f>INDEX('Liens axe 2'!$B$5:$T$13,5,MATCH($G$31,'Liens axe 2'!$B$5:$T$5,0)+2)</f>
        <v>0</v>
      </c>
      <c r="J35" s="4"/>
      <c r="K35" s="853"/>
      <c r="L35" s="426">
        <f>INDEX('Note finale'!$B$5:$AA$26,MATCH($A$27,'Note finale'!$B$5:$B$26,0),MATCH('Axe 2'!$E$31,'Note finale'!$B$4:$AA$4,0))</f>
        <v>3.8745387453874539E-3</v>
      </c>
      <c r="M35" s="674"/>
      <c r="N35" s="776">
        <f t="shared" si="0"/>
        <v>0</v>
      </c>
      <c r="O35" s="606"/>
      <c r="P35" s="786"/>
      <c r="R35" s="800"/>
      <c r="S35" s="776">
        <f t="shared" si="1"/>
        <v>0</v>
      </c>
      <c r="T35" s="606"/>
      <c r="U35" s="786"/>
      <c r="W35" s="800"/>
      <c r="X35" s="776">
        <f t="shared" si="2"/>
        <v>0</v>
      </c>
      <c r="Y35" s="606"/>
      <c r="Z35" s="786"/>
    </row>
    <row r="36" spans="1:26" ht="25.5" customHeight="1" x14ac:dyDescent="0.2">
      <c r="A36" s="843"/>
      <c r="B36" s="840"/>
      <c r="C36" s="836"/>
      <c r="D36" s="400"/>
      <c r="E36" s="862"/>
      <c r="F36" s="147" t="s">
        <v>68</v>
      </c>
      <c r="G36" s="82" t="str">
        <f>IF(Préambule!$E$51="","",HLOOKUP(Préambule!$E$51,'Liens axe 2'!$B$5:$S$13,6,FALSE))</f>
        <v>Un controle des déchets entrants et une traçabilité des déchets stockés sont assurés.</v>
      </c>
      <c r="H36" s="82" t="str">
        <f>INDEX('Liens axe 2'!$B$5:$S$13,6,MATCH($G$31,'Liens axe 2'!$B$5:$S$5,0)+1)</f>
        <v/>
      </c>
      <c r="I36" s="137">
        <f>INDEX('Liens axe 2'!$B$5:$T$13,6,MATCH($G$31,'Liens axe 2'!$B$5:$T$5,0)+2)</f>
        <v>0</v>
      </c>
      <c r="J36" s="4"/>
      <c r="K36" s="853"/>
      <c r="L36" s="426">
        <f>INDEX('Note finale'!$B$5:$AA$26,MATCH($A$27,'Note finale'!$B$5:$B$26,0),MATCH('Axe 2'!$E$31,'Note finale'!$B$4:$AA$4,0))</f>
        <v>3.8745387453874539E-3</v>
      </c>
      <c r="M36" s="674"/>
      <c r="N36" s="776">
        <f t="shared" si="0"/>
        <v>0</v>
      </c>
      <c r="O36" s="606"/>
      <c r="P36" s="786"/>
      <c r="R36" s="800"/>
      <c r="S36" s="776">
        <f t="shared" si="1"/>
        <v>0</v>
      </c>
      <c r="T36" s="606"/>
      <c r="U36" s="786"/>
      <c r="W36" s="800"/>
      <c r="X36" s="776">
        <f t="shared" si="2"/>
        <v>0</v>
      </c>
      <c r="Y36" s="606"/>
      <c r="Z36" s="786"/>
    </row>
    <row r="37" spans="1:26" ht="57.75" customHeight="1" x14ac:dyDescent="0.2">
      <c r="A37" s="843"/>
      <c r="B37" s="840"/>
      <c r="C37" s="836"/>
      <c r="D37" s="400"/>
      <c r="E37" s="862"/>
      <c r="F37" s="147" t="s">
        <v>68</v>
      </c>
      <c r="G37" s="82" t="str">
        <f>IF(Préambule!$E$51="","",HLOOKUP(Préambule!$E$51,'Liens axe 2'!$B$5:$S$13,7,FALSE))</f>
        <v>Les lixiviats sont captés et traités</v>
      </c>
      <c r="H37" s="82" t="str">
        <f>INDEX('Liens axe 2'!$B$5:$S$13,7,MATCH($G$31,'Liens axe 2'!$B$5:$S$5,0)+1)</f>
        <v>Quantité de lixiviats captés et traités</v>
      </c>
      <c r="I37" s="137">
        <f>INDEX('Liens axe 2'!$B$5:$T$13,7,MATCH($G$31,'Liens axe 2'!$B$5:$T$5,0)+2)</f>
        <v>0</v>
      </c>
      <c r="J37" s="4"/>
      <c r="K37" s="853"/>
      <c r="L37" s="426">
        <f>INDEX('Note finale'!$B$5:$AA$26,MATCH($A$27,'Note finale'!$B$5:$B$26,0),MATCH('Axe 2'!$E$31,'Note finale'!$B$4:$AA$4,0))</f>
        <v>3.8745387453874539E-3</v>
      </c>
      <c r="M37" s="674"/>
      <c r="N37" s="776">
        <f t="shared" si="0"/>
        <v>0</v>
      </c>
      <c r="O37" s="606"/>
      <c r="P37" s="786"/>
      <c r="R37" s="800"/>
      <c r="S37" s="776">
        <f t="shared" si="1"/>
        <v>0</v>
      </c>
      <c r="T37" s="606"/>
      <c r="U37" s="786"/>
      <c r="W37" s="800"/>
      <c r="X37" s="776">
        <f t="shared" si="2"/>
        <v>0</v>
      </c>
      <c r="Y37" s="606"/>
      <c r="Z37" s="786"/>
    </row>
    <row r="38" spans="1:26" ht="23.25" customHeight="1" x14ac:dyDescent="0.2">
      <c r="A38" s="843"/>
      <c r="B38" s="840"/>
      <c r="C38" s="836"/>
      <c r="D38" s="400"/>
      <c r="E38" s="862"/>
      <c r="F38" s="147" t="s">
        <v>68</v>
      </c>
      <c r="G38" s="82">
        <f>IF(Préambule!$E$51="","",HLOOKUP(Préambule!$E$51,'Liens axe 2'!$B$5:$S$13,8,FALSE))</f>
        <v>0</v>
      </c>
      <c r="H38" s="82">
        <f>INDEX('Liens axe 2'!$B$5:$S$13,8,MATCH($G$31,'Liens axe 2'!$B$5:$S$5,0)+1)</f>
        <v>0</v>
      </c>
      <c r="I38" s="137">
        <f>INDEX('Liens axe 2'!$B$5:$T$13,8,MATCH($G$31,'Liens axe 2'!$B$5:$T$5,0)+2)</f>
        <v>0</v>
      </c>
      <c r="J38" s="4"/>
      <c r="K38" s="853"/>
      <c r="L38" s="426">
        <f>INDEX('Note finale'!$B$5:$AA$26,MATCH($A$27,'Note finale'!$B$5:$B$26,0),MATCH('Axe 2'!$E$31,'Note finale'!$B$4:$AA$4,0))</f>
        <v>3.8745387453874539E-3</v>
      </c>
      <c r="M38" s="674"/>
      <c r="N38" s="776">
        <f t="shared" si="0"/>
        <v>0</v>
      </c>
      <c r="O38" s="606"/>
      <c r="P38" s="786"/>
      <c r="R38" s="800"/>
      <c r="S38" s="776">
        <f t="shared" si="1"/>
        <v>0</v>
      </c>
      <c r="T38" s="606"/>
      <c r="U38" s="786"/>
      <c r="W38" s="800"/>
      <c r="X38" s="776">
        <f t="shared" si="2"/>
        <v>0</v>
      </c>
      <c r="Y38" s="606"/>
      <c r="Z38" s="786"/>
    </row>
    <row r="39" spans="1:26" ht="23.25" customHeight="1" x14ac:dyDescent="0.2">
      <c r="A39" s="843"/>
      <c r="B39" s="840"/>
      <c r="C39" s="836"/>
      <c r="D39" s="400"/>
      <c r="E39" s="862"/>
      <c r="F39" s="147" t="s">
        <v>68</v>
      </c>
      <c r="G39" s="82">
        <f>IF(Préambule!$E$51="","",HLOOKUP(Préambule!$E$51,'Liens axe 2'!$B$5:$S$13,9,FALSE))</f>
        <v>0</v>
      </c>
      <c r="H39" s="82">
        <f>INDEX('Liens axe 2'!$B$5:$S$13,9,MATCH($G$31,'Liens axe 2'!$B$5:$S$5,0)+1)</f>
        <v>0</v>
      </c>
      <c r="I39" s="137">
        <f>INDEX('Liens axe 2'!$B$5:$T$13,9,MATCH($G$31,'Liens axe 2'!$B$5:$T$5,0)+2)</f>
        <v>0</v>
      </c>
      <c r="J39" s="4"/>
      <c r="K39" s="853"/>
      <c r="L39" s="426">
        <f>INDEX('Note finale'!$B$5:$AA$26,MATCH($A$27,'Note finale'!$B$5:$B$26,0),MATCH('Axe 2'!$E$31,'Note finale'!$B$4:$AA$4,0))</f>
        <v>3.8745387453874539E-3</v>
      </c>
      <c r="M39" s="674"/>
      <c r="N39" s="776">
        <f t="shared" si="0"/>
        <v>0</v>
      </c>
      <c r="O39" s="606"/>
      <c r="P39" s="786"/>
      <c r="R39" s="800"/>
      <c r="S39" s="776">
        <f t="shared" si="1"/>
        <v>0</v>
      </c>
      <c r="T39" s="606"/>
      <c r="U39" s="786"/>
      <c r="W39" s="800"/>
      <c r="X39" s="776">
        <f t="shared" si="2"/>
        <v>0</v>
      </c>
      <c r="Y39" s="606"/>
      <c r="Z39" s="786"/>
    </row>
    <row r="40" spans="1:26" ht="15" customHeight="1" x14ac:dyDescent="0.2">
      <c r="A40" s="843"/>
      <c r="B40" s="840"/>
      <c r="C40" s="836"/>
      <c r="D40" s="400"/>
      <c r="E40" s="862"/>
      <c r="F40" s="147" t="s">
        <v>68</v>
      </c>
      <c r="G40" s="850" t="str">
        <f>IF(Préambule!$E$52="","Toutes les installations de traitement des déchets ont déjà été développées plus haut",HLOOKUP(Préambule!E52,'Liens axe 2'!$B$5:$S$13,1,FALSE))</f>
        <v>Unité de méthanisation</v>
      </c>
      <c r="H40" s="851"/>
      <c r="I40" s="852"/>
      <c r="J40" s="4"/>
      <c r="K40" s="853"/>
      <c r="L40" s="426"/>
      <c r="M40" s="674"/>
      <c r="N40" s="776">
        <f t="shared" si="0"/>
        <v>0</v>
      </c>
      <c r="O40" s="606"/>
      <c r="P40" s="786"/>
      <c r="R40" s="800"/>
      <c r="S40" s="776">
        <f t="shared" si="1"/>
        <v>0</v>
      </c>
      <c r="T40" s="606"/>
      <c r="U40" s="786"/>
      <c r="W40" s="800"/>
      <c r="X40" s="776">
        <f t="shared" si="2"/>
        <v>0</v>
      </c>
      <c r="Y40" s="606"/>
      <c r="Z40" s="786"/>
    </row>
    <row r="41" spans="1:26" ht="83.25" customHeight="1" x14ac:dyDescent="0.2">
      <c r="A41" s="843"/>
      <c r="B41" s="840"/>
      <c r="C41" s="836"/>
      <c r="D41" s="400"/>
      <c r="E41" s="862"/>
      <c r="F41" s="147" t="s">
        <v>68</v>
      </c>
      <c r="G41" s="82" t="str">
        <f>IF(Préambule!$E$52&lt;&gt;"",HLOOKUP(Préambule!$E$52,'Liens axe 2'!$B$5:$S$13,2,FALSE),"")</f>
        <v>Du biogaz est produit et trouve des débouchés (si possible de proximité)</v>
      </c>
      <c r="H41" s="82" t="str">
        <f>INDEX('Liens axe 2'!$B$5:$S$13,2,MATCH($G$40,'Liens axe 2'!$B$5:$S$5,0)+1)</f>
        <v>Quantité de biogaz produit et valorisé en injection ou en cogénération</v>
      </c>
      <c r="I41" s="137">
        <f>INDEX('Liens axe 2'!$B$5:$T$13,2,MATCH($G$40,'Liens axe 2'!$B$5:$T$5,0)+2)</f>
        <v>0</v>
      </c>
      <c r="J41" s="4"/>
      <c r="K41" s="853"/>
      <c r="L41" s="426">
        <f>IF(Préambule!$E$52&lt;&gt;"",INDEX('Note finale'!$B$5:$AA$26,MATCH($A$27,'Note finale'!$B$5:$B$26,0),MATCH('Axe 2'!$E$31,'Note finale'!$B$4:$AA$4,0)),0)</f>
        <v>3.8745387453874539E-3</v>
      </c>
      <c r="M41" s="674"/>
      <c r="N41" s="776">
        <f t="shared" si="0"/>
        <v>0</v>
      </c>
      <c r="O41" s="606"/>
      <c r="P41" s="786"/>
      <c r="R41" s="800"/>
      <c r="S41" s="776">
        <f t="shared" si="1"/>
        <v>0</v>
      </c>
      <c r="T41" s="606"/>
      <c r="U41" s="786"/>
      <c r="W41" s="800"/>
      <c r="X41" s="776">
        <f t="shared" si="2"/>
        <v>0</v>
      </c>
      <c r="Y41" s="606"/>
      <c r="Z41" s="786"/>
    </row>
    <row r="42" spans="1:26" ht="33" customHeight="1" x14ac:dyDescent="0.2">
      <c r="A42" s="843"/>
      <c r="B42" s="840"/>
      <c r="C42" s="836"/>
      <c r="D42" s="400"/>
      <c r="E42" s="862"/>
      <c r="F42" s="147" t="s">
        <v>68</v>
      </c>
      <c r="G42" s="82" t="str">
        <f>IF(Préambule!$E$52&lt;&gt;"",HLOOKUP(Préambule!$E$52,'Liens axe 2'!$B$5:$S$13,3,FALSE),"")</f>
        <v>L'unité de méthanisation produit du digestat de bonne qualité, valorisé localement.</v>
      </c>
      <c r="H42" s="82" t="str">
        <f>INDEX('Liens axe 2'!$B$5:$S$13,3,MATCH($G$40,'Liens axe 2'!$B$5:$S$5,0)+1)</f>
        <v>Quantité de digestat produit</v>
      </c>
      <c r="I42" s="137">
        <f>INDEX('Liens axe 2'!$B$5:$T$13,3,MATCH($G$40,'Liens axe 2'!$B$5:$T$5,0)+2)</f>
        <v>0</v>
      </c>
      <c r="J42" s="4"/>
      <c r="K42" s="853"/>
      <c r="L42" s="426">
        <f>IF(Préambule!$E$52&lt;&gt;"",INDEX('Note finale'!$B$5:$AA$26,MATCH($A$27,'Note finale'!$B$5:$B$26,0),MATCH('Axe 2'!$E$31,'Note finale'!$B$4:$AA$4,0)),0)</f>
        <v>3.8745387453874539E-3</v>
      </c>
      <c r="M42" s="674"/>
      <c r="N42" s="776">
        <f t="shared" si="0"/>
        <v>0</v>
      </c>
      <c r="O42" s="606"/>
      <c r="P42" s="786"/>
      <c r="R42" s="800"/>
      <c r="S42" s="776">
        <f t="shared" si="1"/>
        <v>0</v>
      </c>
      <c r="T42" s="606"/>
      <c r="U42" s="786"/>
      <c r="W42" s="800"/>
      <c r="X42" s="776">
        <f t="shared" si="2"/>
        <v>0</v>
      </c>
      <c r="Y42" s="606"/>
      <c r="Z42" s="786"/>
    </row>
    <row r="43" spans="1:26" ht="63.75" customHeight="1" x14ac:dyDescent="0.2">
      <c r="A43" s="843"/>
      <c r="B43" s="840"/>
      <c r="C43" s="836"/>
      <c r="D43" s="400"/>
      <c r="E43" s="862"/>
      <c r="F43" s="147" t="s">
        <v>68</v>
      </c>
      <c r="G43" s="82" t="str">
        <f>IF(Préambule!$E$52&lt;&gt;"",HLOOKUP(Préambule!$E$52,'Liens axe 2'!$B$5:$S$13,4,FALSE),"")</f>
        <v>Les refus sont valorisés de manière appropriée (UTOM ou ISDND si pas d'UTOM)</v>
      </c>
      <c r="H43" s="82" t="str">
        <f>INDEX('Liens axe 2'!$B$5:$S$13,4,MATCH($G$40,'Liens axe 2'!$B$5:$S$5,0)+1)</f>
        <v>Quantité de refus valorisé en UTOM ou ISDND si pas d'UTOM</v>
      </c>
      <c r="I43" s="137">
        <f>INDEX('Liens axe 2'!$B$5:$T$13,4,MATCH($G$40,'Liens axe 2'!$B$5:$T$5,0)+2)</f>
        <v>0</v>
      </c>
      <c r="J43" s="4"/>
      <c r="K43" s="853"/>
      <c r="L43" s="426">
        <f>IF(Préambule!$E$52&lt;&gt;"",INDEX('Note finale'!$B$5:$AA$26,MATCH($A$27,'Note finale'!$B$5:$B$26,0),MATCH('Axe 2'!$E$31,'Note finale'!$B$4:$AA$4,0)),0)</f>
        <v>3.8745387453874539E-3</v>
      </c>
      <c r="M43" s="674"/>
      <c r="N43" s="776">
        <f t="shared" si="0"/>
        <v>0</v>
      </c>
      <c r="O43" s="606"/>
      <c r="P43" s="786"/>
      <c r="R43" s="800"/>
      <c r="S43" s="776">
        <f t="shared" si="1"/>
        <v>0</v>
      </c>
      <c r="T43" s="606"/>
      <c r="U43" s="786"/>
      <c r="W43" s="800"/>
      <c r="X43" s="776">
        <f t="shared" si="2"/>
        <v>0</v>
      </c>
      <c r="Y43" s="606"/>
      <c r="Z43" s="786"/>
    </row>
    <row r="44" spans="1:26" ht="51.75" customHeight="1" x14ac:dyDescent="0.2">
      <c r="A44" s="843"/>
      <c r="B44" s="840"/>
      <c r="C44" s="836"/>
      <c r="D44" s="400"/>
      <c r="E44" s="862"/>
      <c r="F44" s="147" t="s">
        <v>68</v>
      </c>
      <c r="G44" s="82" t="str">
        <f>IF(Préambule!$E$52&lt;&gt;"",HLOOKUP(Préambule!$E$52,'Liens axe 2'!$B$5:$S$13,5,FALSE),"")</f>
        <v>La production d’électricité et de chaleur en kWh produit à partir de biodéchets pour l'ensemble du territoire (ménages et activités économiques, agricoles...) est en augmentation ou à défaut la part de déchets organiques encore présente dans les OMR est en baisse</v>
      </c>
      <c r="H44" s="82" t="str">
        <f>INDEX('Liens axe 2'!$B$5:$S$13,5,MATCH($G$40,'Liens axe 2'!$B$5:$S$5,0)+1)</f>
        <v>Evolution sur les 5 dernières années de la quantité d'énergie (électricité ou chaleur) produite à partir des biodééchets du territoire</v>
      </c>
      <c r="I44" s="137">
        <f>INDEX('Liens axe 2'!$B$5:$T$13,5,MATCH($G$40,'Liens axe 2'!$B$5:$T$5,0)+2)</f>
        <v>0</v>
      </c>
      <c r="J44" s="4"/>
      <c r="K44" s="853"/>
      <c r="L44" s="426">
        <f>IF(Préambule!$E$52&lt;&gt;"",INDEX('Note finale'!$B$5:$AA$26,MATCH($A$27,'Note finale'!$B$5:$B$26,0),MATCH('Axe 2'!$E$31,'Note finale'!$B$4:$AA$4,0)),0)</f>
        <v>3.8745387453874539E-3</v>
      </c>
      <c r="M44" s="674"/>
      <c r="N44" s="776">
        <f t="shared" si="0"/>
        <v>0</v>
      </c>
      <c r="O44" s="606"/>
      <c r="P44" s="786"/>
      <c r="R44" s="800"/>
      <c r="S44" s="776">
        <f t="shared" si="1"/>
        <v>0</v>
      </c>
      <c r="T44" s="606"/>
      <c r="U44" s="786"/>
      <c r="W44" s="800"/>
      <c r="X44" s="776">
        <f t="shared" si="2"/>
        <v>0</v>
      </c>
      <c r="Y44" s="606"/>
      <c r="Z44" s="786"/>
    </row>
    <row r="45" spans="1:26" ht="32.25" customHeight="1" x14ac:dyDescent="0.2">
      <c r="A45" s="843"/>
      <c r="B45" s="840"/>
      <c r="C45" s="836"/>
      <c r="D45" s="400"/>
      <c r="E45" s="862"/>
      <c r="F45" s="147" t="s">
        <v>68</v>
      </c>
      <c r="G45" s="82">
        <f>IF(Préambule!$E$52&lt;&gt;"",HLOOKUP(Préambule!$E$52,'Liens axe 2'!$B$5:$S$13,6,FALSE),"")</f>
        <v>0</v>
      </c>
      <c r="H45" s="82">
        <f>INDEX('Liens axe 2'!$B$5:$S$13,6,MATCH($G$40,'Liens axe 2'!$B$5:$S$5,0)+1)</f>
        <v>0</v>
      </c>
      <c r="I45" s="137">
        <f>INDEX('Liens axe 2'!$B$5:$T$13,6,MATCH($G$40,'Liens axe 2'!$B$5:$T$5,0)+2)</f>
        <v>0</v>
      </c>
      <c r="J45" s="4"/>
      <c r="K45" s="853"/>
      <c r="L45" s="426">
        <f>IF(Préambule!$E$52&lt;&gt;"",INDEX('Note finale'!$B$5:$AA$26,MATCH($A$27,'Note finale'!$B$5:$B$26,0),MATCH('Axe 2'!$E$31,'Note finale'!$B$4:$AA$4,0)),0)</f>
        <v>3.8745387453874539E-3</v>
      </c>
      <c r="M45" s="674"/>
      <c r="N45" s="776">
        <f t="shared" si="0"/>
        <v>0</v>
      </c>
      <c r="O45" s="606"/>
      <c r="P45" s="786"/>
      <c r="R45" s="800"/>
      <c r="S45" s="776">
        <f t="shared" si="1"/>
        <v>0</v>
      </c>
      <c r="T45" s="606"/>
      <c r="U45" s="786"/>
      <c r="W45" s="800"/>
      <c r="X45" s="776">
        <f t="shared" si="2"/>
        <v>0</v>
      </c>
      <c r="Y45" s="606"/>
      <c r="Z45" s="786"/>
    </row>
    <row r="46" spans="1:26" ht="57.75" customHeight="1" x14ac:dyDescent="0.2">
      <c r="A46" s="843"/>
      <c r="B46" s="840"/>
      <c r="C46" s="836"/>
      <c r="D46" s="400"/>
      <c r="E46" s="862"/>
      <c r="F46" s="147" t="s">
        <v>68</v>
      </c>
      <c r="G46" s="82">
        <f>IF(Préambule!$E$52&lt;&gt;"",HLOOKUP(Préambule!$E$52,'Liens axe 2'!$B$5:$S$13,7,FALSE),"")</f>
        <v>0</v>
      </c>
      <c r="H46" s="82">
        <f>INDEX('Liens axe 2'!$B$5:$S$13,7,MATCH($G$40,'Liens axe 2'!$B$5:$S$5,0)+1)</f>
        <v>0</v>
      </c>
      <c r="I46" s="137">
        <f>INDEX('Liens axe 2'!$B$5:$T$13,7,MATCH($G$40,'Liens axe 2'!$B$5:$T$5,0)+2)</f>
        <v>0</v>
      </c>
      <c r="J46" s="4"/>
      <c r="K46" s="853"/>
      <c r="L46" s="426">
        <f>IF(Préambule!$E$52&lt;&gt;"",INDEX('Note finale'!$B$5:$AA$26,MATCH($A$27,'Note finale'!$B$5:$B$26,0),MATCH('Axe 2'!$E$31,'Note finale'!$B$4:$AA$4,0)),0)</f>
        <v>3.8745387453874539E-3</v>
      </c>
      <c r="M46" s="674"/>
      <c r="N46" s="776">
        <f t="shared" si="0"/>
        <v>0</v>
      </c>
      <c r="O46" s="606"/>
      <c r="P46" s="786"/>
      <c r="R46" s="800"/>
      <c r="S46" s="776">
        <f t="shared" si="1"/>
        <v>0</v>
      </c>
      <c r="T46" s="606"/>
      <c r="U46" s="786"/>
      <c r="W46" s="800"/>
      <c r="X46" s="776">
        <f t="shared" si="2"/>
        <v>0</v>
      </c>
      <c r="Y46" s="606"/>
      <c r="Z46" s="786"/>
    </row>
    <row r="47" spans="1:26" ht="27" customHeight="1" x14ac:dyDescent="0.2">
      <c r="A47" s="843"/>
      <c r="B47" s="840"/>
      <c r="C47" s="836"/>
      <c r="D47" s="400"/>
      <c r="E47" s="862"/>
      <c r="F47" s="147" t="s">
        <v>68</v>
      </c>
      <c r="G47" s="82">
        <f>IF(Préambule!$E$52&lt;&gt;"",HLOOKUP(Préambule!$E$52,'Liens axe 2'!$B$5:$S$13,8,FALSE),"")</f>
        <v>0</v>
      </c>
      <c r="H47" s="82">
        <f>INDEX('Liens axe 2'!$B$5:$S$13,8,MATCH($G$40,'Liens axe 2'!$B$5:$S$5,0)+1)</f>
        <v>0</v>
      </c>
      <c r="I47" s="137">
        <f>INDEX('Liens axe 2'!$B$5:$T$13,8,MATCH($G$40,'Liens axe 2'!$B$5:$T$5,0)+2)</f>
        <v>0</v>
      </c>
      <c r="J47" s="4"/>
      <c r="K47" s="853"/>
      <c r="L47" s="426">
        <f>IF(Préambule!$E$52&lt;&gt;"",INDEX('Note finale'!$B$5:$AA$26,MATCH($A$27,'Note finale'!$B$5:$B$26,0),MATCH('Axe 2'!$E$31,'Note finale'!$B$4:$AA$4,0)),0)</f>
        <v>3.8745387453874539E-3</v>
      </c>
      <c r="M47" s="674"/>
      <c r="N47" s="776">
        <f t="shared" si="0"/>
        <v>0</v>
      </c>
      <c r="O47" s="606"/>
      <c r="P47" s="786"/>
      <c r="R47" s="800"/>
      <c r="S47" s="776">
        <f t="shared" si="1"/>
        <v>0</v>
      </c>
      <c r="T47" s="606"/>
      <c r="U47" s="786"/>
      <c r="W47" s="800"/>
      <c r="X47" s="776">
        <f t="shared" si="2"/>
        <v>0</v>
      </c>
      <c r="Y47" s="606"/>
      <c r="Z47" s="786"/>
    </row>
    <row r="48" spans="1:26" ht="27" customHeight="1" x14ac:dyDescent="0.2">
      <c r="A48" s="843"/>
      <c r="B48" s="840"/>
      <c r="C48" s="836"/>
      <c r="D48" s="400"/>
      <c r="E48" s="862"/>
      <c r="F48" s="147" t="s">
        <v>68</v>
      </c>
      <c r="G48" s="82">
        <f>IF(Préambule!$E$52&lt;&gt;"",HLOOKUP(Préambule!$E$52,'Liens axe 2'!$B$5:$S$13,9,FALSE),"")</f>
        <v>0</v>
      </c>
      <c r="H48" s="82">
        <f>INDEX('Liens axe 2'!$B$5:$S$13,9,MATCH($G$40,'Liens axe 2'!$B$5:$S$5,0)+1)</f>
        <v>0</v>
      </c>
      <c r="I48" s="137">
        <f>INDEX('Liens axe 2'!$B$5:$T$13,9,MATCH($G$40,'Liens axe 2'!$B$5:$T$5,0)+2)</f>
        <v>0</v>
      </c>
      <c r="J48" s="4"/>
      <c r="K48" s="853"/>
      <c r="L48" s="426">
        <f>IF(Préambule!$E$52&lt;&gt;"",INDEX('Note finale'!$B$5:$AA$26,MATCH($A$27,'Note finale'!$B$5:$B$26,0),MATCH('Axe 2'!$E$31,'Note finale'!$B$4:$AA$4,0)),0)</f>
        <v>3.8745387453874539E-3</v>
      </c>
      <c r="M48" s="674"/>
      <c r="N48" s="776">
        <f t="shared" si="0"/>
        <v>0</v>
      </c>
      <c r="O48" s="606"/>
      <c r="P48" s="786"/>
      <c r="R48" s="800"/>
      <c r="S48" s="776">
        <f t="shared" si="1"/>
        <v>0</v>
      </c>
      <c r="T48" s="606"/>
      <c r="U48" s="786"/>
      <c r="W48" s="800"/>
      <c r="X48" s="776">
        <f t="shared" si="2"/>
        <v>0</v>
      </c>
      <c r="Y48" s="606"/>
      <c r="Z48" s="786"/>
    </row>
    <row r="49" spans="1:26" ht="15" customHeight="1" x14ac:dyDescent="0.2">
      <c r="A49" s="843"/>
      <c r="B49" s="840"/>
      <c r="C49" s="836"/>
      <c r="D49" s="400"/>
      <c r="E49" s="862"/>
      <c r="F49" s="147" t="s">
        <v>68</v>
      </c>
      <c r="G49" s="850" t="str">
        <f>IF(Préambule!$E$53="","Toutes les installations de traitement des déchets ont déjà été développées plus haut",HLOOKUP(Préambule!E53,'Liens axe 2'!$B$5:$S$13,1,FALSE))</f>
        <v>Toutes les installations de traitement des déchets ont déjà été développées plus haut</v>
      </c>
      <c r="H49" s="851"/>
      <c r="I49" s="852"/>
      <c r="J49" s="4"/>
      <c r="K49" s="853"/>
      <c r="L49" s="426"/>
      <c r="M49" s="674"/>
      <c r="N49" s="776">
        <f t="shared" si="0"/>
        <v>0</v>
      </c>
      <c r="O49" s="606"/>
      <c r="P49" s="786"/>
      <c r="R49" s="800"/>
      <c r="S49" s="776">
        <f t="shared" si="1"/>
        <v>0</v>
      </c>
      <c r="T49" s="606"/>
      <c r="U49" s="786"/>
      <c r="W49" s="800"/>
      <c r="X49" s="776">
        <f t="shared" si="2"/>
        <v>0</v>
      </c>
      <c r="Y49" s="606"/>
      <c r="Z49" s="786"/>
    </row>
    <row r="50" spans="1:26" ht="83.25" customHeight="1" x14ac:dyDescent="0.2">
      <c r="A50" s="843"/>
      <c r="B50" s="840"/>
      <c r="C50" s="836"/>
      <c r="D50" s="400"/>
      <c r="E50" s="862"/>
      <c r="F50" s="147" t="s">
        <v>68</v>
      </c>
      <c r="G50" s="82" t="str">
        <f>IF(Préambule!$E$53&lt;&gt;"",HLOOKUP(Préambule!$E$53,'Liens axe 2'!$B$5:$S$13,2,FALSE),"")</f>
        <v/>
      </c>
      <c r="H50" s="82" t="e">
        <f>INDEX('Liens axe 2'!$B$5:$S$13,2,MATCH($G$49,'Liens axe 2'!$B$5:$S$5,0)+1)</f>
        <v>#N/A</v>
      </c>
      <c r="I50" s="137" t="e">
        <f>INDEX('Liens axe 2'!$B$5:$T$13,2,MATCH($G$49,'Liens axe 2'!$B$5:$T$5,0)+2)</f>
        <v>#N/A</v>
      </c>
      <c r="J50" s="4"/>
      <c r="K50" s="853"/>
      <c r="L50" s="426">
        <f>IF(Préambule!$E$53&lt;&gt;"",INDEX('Note finale'!$B$5:$AA$26,MATCH($A$27,'Note finale'!$B$5:$B$26,0),MATCH('Axe 2'!$E$31,'Note finale'!$B$4:$AA$4,0)),0)</f>
        <v>0</v>
      </c>
      <c r="M50" s="674"/>
      <c r="N50" s="776">
        <f t="shared" si="0"/>
        <v>0</v>
      </c>
      <c r="O50" s="606"/>
      <c r="P50" s="786"/>
      <c r="R50" s="800"/>
      <c r="S50" s="776">
        <f t="shared" si="1"/>
        <v>0</v>
      </c>
      <c r="T50" s="606"/>
      <c r="U50" s="786"/>
      <c r="W50" s="800"/>
      <c r="X50" s="776">
        <f t="shared" si="2"/>
        <v>0</v>
      </c>
      <c r="Y50" s="606"/>
      <c r="Z50" s="786"/>
    </row>
    <row r="51" spans="1:26" ht="29.25" customHeight="1" x14ac:dyDescent="0.2">
      <c r="A51" s="843"/>
      <c r="B51" s="840"/>
      <c r="C51" s="836"/>
      <c r="D51" s="400"/>
      <c r="E51" s="862"/>
      <c r="F51" s="147" t="s">
        <v>68</v>
      </c>
      <c r="G51" s="82" t="str">
        <f>IF(Préambule!$E$53&lt;&gt;"",HLOOKUP(Préambule!$E$53,'Liens axe 2'!$B$5:$S$13,3,FALSE),"")</f>
        <v/>
      </c>
      <c r="H51" s="82" t="e">
        <f>INDEX('Liens axe 2'!$B$5:$S$13,3,MATCH($G$49,'Liens axe 2'!$B$5:$S$5,0)+1)</f>
        <v>#N/A</v>
      </c>
      <c r="I51" s="137" t="e">
        <f>INDEX('Liens axe 2'!$B$5:$T$13,3,MATCH($G$49,'Liens axe 2'!$B$5:$T$5,0)+2)</f>
        <v>#N/A</v>
      </c>
      <c r="J51" s="4"/>
      <c r="K51" s="853"/>
      <c r="L51" s="426">
        <f>IF(Préambule!$E$53&lt;&gt;"",INDEX('Note finale'!$B$5:$AA$26,MATCH($A$27,'Note finale'!$B$5:$B$26,0),MATCH('Axe 2'!$E$31,'Note finale'!$B$4:$AA$4,0)),0)</f>
        <v>0</v>
      </c>
      <c r="M51" s="674"/>
      <c r="N51" s="776">
        <f t="shared" si="0"/>
        <v>0</v>
      </c>
      <c r="O51" s="606"/>
      <c r="P51" s="786"/>
      <c r="R51" s="800"/>
      <c r="S51" s="776">
        <f t="shared" si="1"/>
        <v>0</v>
      </c>
      <c r="T51" s="606"/>
      <c r="U51" s="786"/>
      <c r="W51" s="800"/>
      <c r="X51" s="776">
        <f t="shared" si="2"/>
        <v>0</v>
      </c>
      <c r="Y51" s="606"/>
      <c r="Z51" s="786"/>
    </row>
    <row r="52" spans="1:26" ht="63.75" customHeight="1" x14ac:dyDescent="0.2">
      <c r="A52" s="843"/>
      <c r="B52" s="840"/>
      <c r="C52" s="836"/>
      <c r="D52" s="400"/>
      <c r="E52" s="862"/>
      <c r="F52" s="147" t="s">
        <v>68</v>
      </c>
      <c r="G52" s="82" t="str">
        <f>IF(Préambule!$E$53&lt;&gt;"",HLOOKUP(Préambule!$E$53,'Liens axe 2'!$B$5:$S$13,4,FALSE),"")</f>
        <v/>
      </c>
      <c r="H52" s="82" t="e">
        <f>INDEX('Liens axe 2'!$B$5:$S$13,4,MATCH($G$49,'Liens axe 2'!$B$5:$S$5,0)+1)</f>
        <v>#N/A</v>
      </c>
      <c r="I52" s="137" t="e">
        <f>INDEX('Liens axe 2'!$B$5:$T$13,4,MATCH($G$49,'Liens axe 2'!$B$5:$T$5,0)+2)</f>
        <v>#N/A</v>
      </c>
      <c r="J52" s="4"/>
      <c r="K52" s="853"/>
      <c r="L52" s="426">
        <f>IF(Préambule!$E$53&lt;&gt;"",INDEX('Note finale'!$B$5:$AA$26,MATCH($A$27,'Note finale'!$B$5:$B$26,0),MATCH('Axe 2'!$E$31,'Note finale'!$B$4:$AA$4,0)),0)</f>
        <v>0</v>
      </c>
      <c r="M52" s="674"/>
      <c r="N52" s="776">
        <f t="shared" si="0"/>
        <v>0</v>
      </c>
      <c r="O52" s="606"/>
      <c r="P52" s="786"/>
      <c r="R52" s="800"/>
      <c r="S52" s="776">
        <f t="shared" si="1"/>
        <v>0</v>
      </c>
      <c r="T52" s="606"/>
      <c r="U52" s="786"/>
      <c r="W52" s="800"/>
      <c r="X52" s="776">
        <f t="shared" si="2"/>
        <v>0</v>
      </c>
      <c r="Y52" s="606"/>
      <c r="Z52" s="786"/>
    </row>
    <row r="53" spans="1:26" ht="51" customHeight="1" x14ac:dyDescent="0.2">
      <c r="A53" s="843"/>
      <c r="B53" s="840"/>
      <c r="C53" s="836"/>
      <c r="D53" s="400"/>
      <c r="E53" s="862"/>
      <c r="F53" s="147" t="s">
        <v>68</v>
      </c>
      <c r="G53" s="82" t="str">
        <f>IF(Préambule!$E$53&lt;&gt;"",HLOOKUP(Préambule!$E$53,'Liens axe 2'!$B$5:$S$13,5,FALSE),"")</f>
        <v/>
      </c>
      <c r="H53" s="82" t="e">
        <f>INDEX('Liens axe 2'!$B$5:$S$13,5,MATCH($G$49,'Liens axe 2'!$B$5:$S$5,0)+1)</f>
        <v>#N/A</v>
      </c>
      <c r="I53" s="137" t="e">
        <f>INDEX('Liens axe 2'!$B$5:$T$13,5,MATCH($G$49,'Liens axe 2'!$B$5:$T$5,0)+2)</f>
        <v>#N/A</v>
      </c>
      <c r="J53" s="4"/>
      <c r="K53" s="853"/>
      <c r="L53" s="426">
        <f>IF(Préambule!$E$53&lt;&gt;"",INDEX('Note finale'!$B$5:$AA$26,MATCH($A$27,'Note finale'!$B$5:$B$26,0),MATCH('Axe 2'!$E$31,'Note finale'!$B$4:$AA$4,0)),0)</f>
        <v>0</v>
      </c>
      <c r="M53" s="674"/>
      <c r="N53" s="776">
        <f t="shared" si="0"/>
        <v>0</v>
      </c>
      <c r="O53" s="606"/>
      <c r="P53" s="786"/>
      <c r="R53" s="800"/>
      <c r="S53" s="776">
        <f t="shared" si="1"/>
        <v>0</v>
      </c>
      <c r="T53" s="606"/>
      <c r="U53" s="786"/>
      <c r="W53" s="800"/>
      <c r="X53" s="776">
        <f t="shared" si="2"/>
        <v>0</v>
      </c>
      <c r="Y53" s="606"/>
      <c r="Z53" s="786"/>
    </row>
    <row r="54" spans="1:26" ht="36.75" customHeight="1" x14ac:dyDescent="0.2">
      <c r="A54" s="843"/>
      <c r="B54" s="840"/>
      <c r="C54" s="836"/>
      <c r="D54" s="400"/>
      <c r="E54" s="862"/>
      <c r="F54" s="147" t="s">
        <v>68</v>
      </c>
      <c r="G54" s="82" t="str">
        <f>IF(Préambule!$E$53&lt;&gt;"",HLOOKUP(Préambule!$E$53,'Liens axe 2'!$B$5:$S$13,6,FALSE),"")</f>
        <v/>
      </c>
      <c r="H54" s="82" t="e">
        <f>INDEX('Liens axe 2'!$B$5:$S$13,6,MATCH($G$49,'Liens axe 2'!$B$5:$S$5,0)+1)</f>
        <v>#N/A</v>
      </c>
      <c r="I54" s="137" t="e">
        <f>INDEX('Liens axe 2'!$B$5:$T$13,6,MATCH($G$49,'Liens axe 2'!$B$5:$T$5,0)+2)</f>
        <v>#N/A</v>
      </c>
      <c r="J54" s="4"/>
      <c r="K54" s="853"/>
      <c r="L54" s="426">
        <f>IF(Préambule!$E$53&lt;&gt;"",INDEX('Note finale'!$B$5:$AA$26,MATCH($A$27,'Note finale'!$B$5:$B$26,0),MATCH('Axe 2'!$E$31,'Note finale'!$B$4:$AA$4,0)),0)</f>
        <v>0</v>
      </c>
      <c r="M54" s="674"/>
      <c r="N54" s="776">
        <f t="shared" si="0"/>
        <v>0</v>
      </c>
      <c r="O54" s="606"/>
      <c r="P54" s="786"/>
      <c r="R54" s="800"/>
      <c r="S54" s="776">
        <f t="shared" si="1"/>
        <v>0</v>
      </c>
      <c r="T54" s="606"/>
      <c r="U54" s="786"/>
      <c r="W54" s="800"/>
      <c r="X54" s="776">
        <f t="shared" si="2"/>
        <v>0</v>
      </c>
      <c r="Y54" s="606"/>
      <c r="Z54" s="786"/>
    </row>
    <row r="55" spans="1:26" ht="57.75" customHeight="1" x14ac:dyDescent="0.2">
      <c r="A55" s="843"/>
      <c r="B55" s="840"/>
      <c r="C55" s="836"/>
      <c r="D55" s="400"/>
      <c r="E55" s="862"/>
      <c r="F55" s="147" t="s">
        <v>68</v>
      </c>
      <c r="G55" s="82" t="str">
        <f>IF(Préambule!$E$53&lt;&gt;"",HLOOKUP(Préambule!$E$53,'Liens axe 2'!$B$5:$S$13,7,FALSE),"")</f>
        <v/>
      </c>
      <c r="H55" s="82" t="e">
        <f>INDEX('Liens axe 2'!$B$5:$S$13,7,MATCH($G$49,'Liens axe 2'!$B$5:$S$5,0)+1)</f>
        <v>#N/A</v>
      </c>
      <c r="I55" s="137" t="e">
        <f>INDEX('Liens axe 2'!$B$5:$T$13,7,MATCH($G$49,'Liens axe 2'!$B$5:$T$5,0)+2)</f>
        <v>#N/A</v>
      </c>
      <c r="J55" s="4"/>
      <c r="K55" s="853"/>
      <c r="L55" s="426">
        <f>IF(Préambule!$E$53&lt;&gt;"",INDEX('Note finale'!$B$5:$AA$26,MATCH($A$27,'Note finale'!$B$5:$B$26,0),MATCH('Axe 2'!$E$31,'Note finale'!$B$4:$AA$4,0)),0)</f>
        <v>0</v>
      </c>
      <c r="M55" s="674"/>
      <c r="N55" s="776">
        <f t="shared" si="0"/>
        <v>0</v>
      </c>
      <c r="O55" s="606"/>
      <c r="P55" s="786"/>
      <c r="R55" s="800"/>
      <c r="S55" s="776">
        <f t="shared" si="1"/>
        <v>0</v>
      </c>
      <c r="T55" s="606"/>
      <c r="U55" s="786"/>
      <c r="W55" s="800"/>
      <c r="X55" s="776">
        <f t="shared" si="2"/>
        <v>0</v>
      </c>
      <c r="Y55" s="606"/>
      <c r="Z55" s="786"/>
    </row>
    <row r="56" spans="1:26" ht="23.25" customHeight="1" x14ac:dyDescent="0.2">
      <c r="A56" s="843"/>
      <c r="B56" s="414"/>
      <c r="C56" s="413"/>
      <c r="D56" s="400"/>
      <c r="E56" s="862"/>
      <c r="F56" s="147" t="s">
        <v>68</v>
      </c>
      <c r="G56" s="82" t="str">
        <f>IF(Préambule!$E$53&lt;&gt;"",HLOOKUP(Préambule!$E$53,'Liens axe 2'!$B$5:$S$13,8,FALSE),"")</f>
        <v/>
      </c>
      <c r="H56" s="82" t="e">
        <f>INDEX('Liens axe 2'!$B$5:$S$13,8,MATCH($G$49,'Liens axe 2'!$B$5:$S$5,0)+1)</f>
        <v>#N/A</v>
      </c>
      <c r="I56" s="137" t="e">
        <f>INDEX('Liens axe 2'!$B$5:$T$13,8,MATCH($G$49,'Liens axe 2'!$B$5:$T$5,0)+2)</f>
        <v>#N/A</v>
      </c>
      <c r="J56" s="4"/>
      <c r="K56" s="853"/>
      <c r="L56" s="426">
        <f>IF(Préambule!$E$53&lt;&gt;"",INDEX('Note finale'!$B$5:$AA$26,MATCH($A$27,'Note finale'!$B$5:$B$26,0),MATCH('Axe 2'!$E$31,'Note finale'!$B$4:$AA$4,0)),0)</f>
        <v>0</v>
      </c>
      <c r="M56" s="674"/>
      <c r="N56" s="776">
        <f t="shared" si="0"/>
        <v>0</v>
      </c>
      <c r="O56" s="606"/>
      <c r="P56" s="786"/>
      <c r="R56" s="800"/>
      <c r="S56" s="776">
        <f t="shared" si="1"/>
        <v>0</v>
      </c>
      <c r="T56" s="606"/>
      <c r="U56" s="786"/>
      <c r="W56" s="800"/>
      <c r="X56" s="776">
        <f t="shared" si="2"/>
        <v>0</v>
      </c>
      <c r="Y56" s="606"/>
      <c r="Z56" s="786"/>
    </row>
    <row r="57" spans="1:26" ht="23.25" customHeight="1" x14ac:dyDescent="0.2">
      <c r="A57" s="843"/>
      <c r="B57" s="414"/>
      <c r="C57" s="413"/>
      <c r="D57" s="400"/>
      <c r="E57" s="862"/>
      <c r="F57" s="147" t="s">
        <v>68</v>
      </c>
      <c r="G57" s="82" t="str">
        <f>IF(Préambule!$E$53&lt;&gt;"",HLOOKUP(Préambule!$E$53,'Liens axe 2'!$B$5:$S$13,9,FALSE),"")</f>
        <v/>
      </c>
      <c r="H57" s="82" t="e">
        <f>INDEX('Liens axe 2'!$B$5:$S$13,9,MATCH($G$49,'Liens axe 2'!$B$5:$S$5,0)+1)</f>
        <v>#N/A</v>
      </c>
      <c r="I57" s="137" t="e">
        <f>INDEX('Liens axe 2'!$B$5:$T$13,9,MATCH($G$49,'Liens axe 2'!$B$5:$T$5,0)+2)</f>
        <v>#N/A</v>
      </c>
      <c r="J57" s="4"/>
      <c r="K57" s="853"/>
      <c r="L57" s="426">
        <f>IF(Préambule!$E$53&lt;&gt;"",INDEX('Note finale'!$B$5:$AA$26,MATCH($A$27,'Note finale'!$B$5:$B$26,0),MATCH('Axe 2'!$E$31,'Note finale'!$B$4:$AA$4,0)),0)</f>
        <v>0</v>
      </c>
      <c r="M57" s="674"/>
      <c r="N57" s="776">
        <f t="shared" si="0"/>
        <v>0</v>
      </c>
      <c r="O57" s="606"/>
      <c r="P57" s="786"/>
      <c r="R57" s="800"/>
      <c r="S57" s="776">
        <f t="shared" si="1"/>
        <v>0</v>
      </c>
      <c r="T57" s="606"/>
      <c r="U57" s="786"/>
      <c r="W57" s="800"/>
      <c r="X57" s="776">
        <f t="shared" si="2"/>
        <v>0</v>
      </c>
      <c r="Y57" s="606"/>
      <c r="Z57" s="786"/>
    </row>
    <row r="58" spans="1:26" ht="15" customHeight="1" x14ac:dyDescent="0.2">
      <c r="A58" s="843"/>
      <c r="B58" s="414"/>
      <c r="C58" s="413"/>
      <c r="D58" s="400"/>
      <c r="E58" s="862"/>
      <c r="F58" s="147" t="s">
        <v>68</v>
      </c>
      <c r="G58" s="850" t="str">
        <f>IF(Préambule!$E$54="","Toutes les installations de traitement des déchets ont déjà été développées plus haut",HLOOKUP(Préambule!E54,'Liens axe 2'!$B$5:$S$13,1,FALSE))</f>
        <v>Toutes les installations de traitement des déchets ont déjà été développées plus haut</v>
      </c>
      <c r="H58" s="851"/>
      <c r="I58" s="852"/>
      <c r="J58" s="4"/>
      <c r="K58" s="853"/>
      <c r="L58" s="426"/>
      <c r="M58" s="674"/>
      <c r="N58" s="776">
        <f t="shared" si="0"/>
        <v>0</v>
      </c>
      <c r="O58" s="606"/>
      <c r="P58" s="786"/>
      <c r="R58" s="800"/>
      <c r="S58" s="776">
        <f t="shared" si="1"/>
        <v>0</v>
      </c>
      <c r="T58" s="606"/>
      <c r="U58" s="786"/>
      <c r="W58" s="800"/>
      <c r="X58" s="776">
        <f t="shared" si="2"/>
        <v>0</v>
      </c>
      <c r="Y58" s="606"/>
      <c r="Z58" s="786"/>
    </row>
    <row r="59" spans="1:26" ht="83.25" customHeight="1" x14ac:dyDescent="0.2">
      <c r="A59" s="843"/>
      <c r="B59" s="414"/>
      <c r="C59" s="413"/>
      <c r="D59" s="400"/>
      <c r="E59" s="862"/>
      <c r="F59" s="147" t="s">
        <v>68</v>
      </c>
      <c r="G59" s="82" t="str">
        <f>IF(Préambule!$E$54&lt;&gt;"",HLOOKUP(Préambule!$E$54,'Liens axe 2'!$B$5:$S$13,2,FALSE),"")</f>
        <v/>
      </c>
      <c r="H59" s="82" t="e">
        <f>INDEX('Liens axe 2'!$B$5:$S$13,2,MATCH($G$58,'Liens axe 2'!$B$5:$S$5,0)+1)</f>
        <v>#N/A</v>
      </c>
      <c r="I59" s="137" t="e">
        <f>INDEX('Liens axe 2'!$B$5:$T$13,2,MATCH($G$58,'Liens axe 2'!$B$5:$T$5,0)+2)</f>
        <v>#N/A</v>
      </c>
      <c r="J59" s="4"/>
      <c r="K59" s="853"/>
      <c r="L59" s="426">
        <f>IF(Préambule!$E$54&lt;&gt;"",INDEX('Note finale'!$B$5:$AA$26,MATCH($A$27,'Note finale'!$B$5:$B$26,0),MATCH('Axe 2'!$E$31,'Note finale'!$B$4:$AA$4,0)),0)</f>
        <v>0</v>
      </c>
      <c r="M59" s="674"/>
      <c r="N59" s="776">
        <f t="shared" si="0"/>
        <v>0</v>
      </c>
      <c r="O59" s="606"/>
      <c r="P59" s="786"/>
      <c r="R59" s="800"/>
      <c r="S59" s="776">
        <f t="shared" si="1"/>
        <v>0</v>
      </c>
      <c r="T59" s="606"/>
      <c r="U59" s="786"/>
      <c r="W59" s="800"/>
      <c r="X59" s="776">
        <f t="shared" si="2"/>
        <v>0</v>
      </c>
      <c r="Y59" s="606"/>
      <c r="Z59" s="786"/>
    </row>
    <row r="60" spans="1:26" ht="34.5" customHeight="1" x14ac:dyDescent="0.2">
      <c r="A60" s="843"/>
      <c r="B60" s="414"/>
      <c r="C60" s="413"/>
      <c r="D60" s="400"/>
      <c r="E60" s="862"/>
      <c r="F60" s="147" t="s">
        <v>68</v>
      </c>
      <c r="G60" s="82" t="str">
        <f>IF(Préambule!$E$54&lt;&gt;"",HLOOKUP(Préambule!$E$54,'Liens axe 2'!$B$5:$S$13,3,FALSE),"")</f>
        <v/>
      </c>
      <c r="H60" s="82" t="e">
        <f>INDEX('Liens axe 2'!$B$5:$S$13,3,MATCH($G$58,'Liens axe 2'!$B$5:$S$5,0)+1)</f>
        <v>#N/A</v>
      </c>
      <c r="I60" s="137" t="e">
        <f>INDEX('Liens axe 2'!$B$5:$T$13,3,MATCH($G$58,'Liens axe 2'!$B$5:$T$5,0)+2)</f>
        <v>#N/A</v>
      </c>
      <c r="J60" s="4"/>
      <c r="K60" s="853"/>
      <c r="L60" s="426">
        <f>IF(Préambule!$E$54&lt;&gt;"",INDEX('Note finale'!$B$5:$AA$26,MATCH($A$27,'Note finale'!$B$5:$B$26,0),MATCH('Axe 2'!$E$31,'Note finale'!$B$4:$AA$4,0)),0)</f>
        <v>0</v>
      </c>
      <c r="M60" s="674"/>
      <c r="N60" s="776">
        <f t="shared" si="0"/>
        <v>0</v>
      </c>
      <c r="O60" s="606"/>
      <c r="P60" s="786"/>
      <c r="R60" s="800"/>
      <c r="S60" s="776">
        <f t="shared" si="1"/>
        <v>0</v>
      </c>
      <c r="T60" s="606"/>
      <c r="U60" s="786"/>
      <c r="W60" s="800"/>
      <c r="X60" s="776">
        <f t="shared" si="2"/>
        <v>0</v>
      </c>
      <c r="Y60" s="606"/>
      <c r="Z60" s="786"/>
    </row>
    <row r="61" spans="1:26" ht="64.5" customHeight="1" x14ac:dyDescent="0.2">
      <c r="A61" s="843"/>
      <c r="B61" s="414"/>
      <c r="C61" s="413"/>
      <c r="D61" s="400"/>
      <c r="E61" s="862"/>
      <c r="F61" s="147" t="s">
        <v>68</v>
      </c>
      <c r="G61" s="82" t="str">
        <f>IF(Préambule!$E$54&lt;&gt;"",HLOOKUP(Préambule!$E$54,'Liens axe 2'!$B$5:$S$13,4,FALSE),"")</f>
        <v/>
      </c>
      <c r="H61" s="82" t="e">
        <f>INDEX('Liens axe 2'!$B$5:$S$13,4,MATCH($G$58,'Liens axe 2'!$B$5:$S$5,0)+1)</f>
        <v>#N/A</v>
      </c>
      <c r="I61" s="137" t="e">
        <f>INDEX('Liens axe 2'!$B$5:$T$13,4,MATCH($G$58,'Liens axe 2'!$B$5:$T$5,0)+2)</f>
        <v>#N/A</v>
      </c>
      <c r="J61" s="4"/>
      <c r="K61" s="853"/>
      <c r="L61" s="426">
        <f>IF(Préambule!$E$54&lt;&gt;"",INDEX('Note finale'!$B$5:$AA$26,MATCH($A$27,'Note finale'!$B$5:$B$26,0),MATCH('Axe 2'!$E$31,'Note finale'!$B$4:$AA$4,0)),0)</f>
        <v>0</v>
      </c>
      <c r="M61" s="674"/>
      <c r="N61" s="776">
        <f t="shared" si="0"/>
        <v>0</v>
      </c>
      <c r="O61" s="606"/>
      <c r="P61" s="786"/>
      <c r="R61" s="800"/>
      <c r="S61" s="776">
        <f t="shared" si="1"/>
        <v>0</v>
      </c>
      <c r="T61" s="606"/>
      <c r="U61" s="786"/>
      <c r="W61" s="800"/>
      <c r="X61" s="776">
        <f t="shared" si="2"/>
        <v>0</v>
      </c>
      <c r="Y61" s="606"/>
      <c r="Z61" s="786"/>
    </row>
    <row r="62" spans="1:26" ht="51" customHeight="1" x14ac:dyDescent="0.2">
      <c r="A62" s="843"/>
      <c r="B62" s="414"/>
      <c r="C62" s="413"/>
      <c r="D62" s="400"/>
      <c r="E62" s="862"/>
      <c r="F62" s="147" t="s">
        <v>68</v>
      </c>
      <c r="G62" s="82" t="str">
        <f>IF(Préambule!$E$54&lt;&gt;"",HLOOKUP(Préambule!$E$54,'Liens axe 2'!$B$5:$S$13,5,FALSE),"")</f>
        <v/>
      </c>
      <c r="H62" s="82" t="e">
        <f>INDEX('Liens axe 2'!$B$5:$S$13,5,MATCH($G$58,'Liens axe 2'!$B$5:$S$5,0)+1)</f>
        <v>#N/A</v>
      </c>
      <c r="I62" s="137" t="e">
        <f>INDEX('Liens axe 2'!$B$5:$T$13,5,MATCH($G$58,'Liens axe 2'!$B$5:$T$5,0)+2)</f>
        <v>#N/A</v>
      </c>
      <c r="J62" s="4"/>
      <c r="K62" s="853"/>
      <c r="L62" s="426">
        <f>IF(Préambule!$E$54&lt;&gt;"",INDEX('Note finale'!$B$5:$AA$26,MATCH($A$27,'Note finale'!$B$5:$B$26,0),MATCH('Axe 2'!$E$31,'Note finale'!$B$4:$AA$4,0)),0)</f>
        <v>0</v>
      </c>
      <c r="M62" s="674"/>
      <c r="N62" s="776">
        <f t="shared" si="0"/>
        <v>0</v>
      </c>
      <c r="O62" s="606"/>
      <c r="P62" s="786"/>
      <c r="R62" s="800"/>
      <c r="S62" s="776">
        <f t="shared" si="1"/>
        <v>0</v>
      </c>
      <c r="T62" s="606"/>
      <c r="U62" s="786"/>
      <c r="W62" s="800"/>
      <c r="X62" s="776">
        <f t="shared" si="2"/>
        <v>0</v>
      </c>
      <c r="Y62" s="606"/>
      <c r="Z62" s="786"/>
    </row>
    <row r="63" spans="1:26" ht="27.75" customHeight="1" x14ac:dyDescent="0.2">
      <c r="A63" s="843"/>
      <c r="B63" s="414"/>
      <c r="C63" s="413"/>
      <c r="D63" s="400"/>
      <c r="E63" s="862"/>
      <c r="F63" s="147" t="s">
        <v>68</v>
      </c>
      <c r="G63" s="82" t="str">
        <f>IF(Préambule!$E$54&lt;&gt;"",HLOOKUP(Préambule!$E$54,'Liens axe 2'!$B$5:$S$13,6,FALSE),"")</f>
        <v/>
      </c>
      <c r="H63" s="82" t="e">
        <f>INDEX('Liens axe 2'!$B$5:$S$13,6,MATCH($G$58,'Liens axe 2'!$B$5:$S$5,0)+1)</f>
        <v>#N/A</v>
      </c>
      <c r="I63" s="137" t="e">
        <f>INDEX('Liens axe 2'!$B$5:$T$13,6,MATCH($G$58,'Liens axe 2'!$B$5:$T$5,0)+2)</f>
        <v>#N/A</v>
      </c>
      <c r="J63" s="4"/>
      <c r="K63" s="853"/>
      <c r="L63" s="426">
        <f>IF(Préambule!$E$54&lt;&gt;"",INDEX('Note finale'!$B$5:$AA$26,MATCH($A$27,'Note finale'!$B$5:$B$26,0),MATCH('Axe 2'!$E$31,'Note finale'!$B$4:$AA$4,0)),0)</f>
        <v>0</v>
      </c>
      <c r="M63" s="674"/>
      <c r="N63" s="776">
        <f t="shared" si="0"/>
        <v>0</v>
      </c>
      <c r="O63" s="606"/>
      <c r="P63" s="786"/>
      <c r="R63" s="800"/>
      <c r="S63" s="776">
        <f t="shared" si="1"/>
        <v>0</v>
      </c>
      <c r="T63" s="606"/>
      <c r="U63" s="786"/>
      <c r="W63" s="800"/>
      <c r="X63" s="776">
        <f t="shared" si="2"/>
        <v>0</v>
      </c>
      <c r="Y63" s="606"/>
      <c r="Z63" s="786"/>
    </row>
    <row r="64" spans="1:26" ht="57.75" customHeight="1" x14ac:dyDescent="0.2">
      <c r="A64" s="843"/>
      <c r="B64" s="414"/>
      <c r="C64" s="413"/>
      <c r="D64" s="400"/>
      <c r="E64" s="862"/>
      <c r="F64" s="147" t="s">
        <v>68</v>
      </c>
      <c r="G64" s="82" t="str">
        <f>IF(Préambule!$E$54&lt;&gt;"",HLOOKUP(Préambule!$E$54,'Liens axe 2'!$B$5:$S$13,7,FALSE),"")</f>
        <v/>
      </c>
      <c r="H64" s="82" t="e">
        <f>INDEX('Liens axe 2'!$B$5:$S$13,7,MATCH($G$58,'Liens axe 2'!$B$5:$S$5,0)+1)</f>
        <v>#N/A</v>
      </c>
      <c r="I64" s="137" t="e">
        <f>INDEX('Liens axe 2'!$B$5:$T$13,7,MATCH($G$58,'Liens axe 2'!$B$5:$T$5,0)+2)</f>
        <v>#N/A</v>
      </c>
      <c r="J64" s="4"/>
      <c r="K64" s="853"/>
      <c r="L64" s="426">
        <f>IF(Préambule!$E$54&lt;&gt;"",INDEX('Note finale'!$B$5:$AA$26,MATCH($A$27,'Note finale'!$B$5:$B$26,0),MATCH('Axe 2'!$E$31,'Note finale'!$B$4:$AA$4,0)),0)</f>
        <v>0</v>
      </c>
      <c r="M64" s="674"/>
      <c r="N64" s="776">
        <f t="shared" si="0"/>
        <v>0</v>
      </c>
      <c r="O64" s="606"/>
      <c r="P64" s="786"/>
      <c r="R64" s="800"/>
      <c r="S64" s="776">
        <f t="shared" si="1"/>
        <v>0</v>
      </c>
      <c r="T64" s="606"/>
      <c r="U64" s="786"/>
      <c r="W64" s="800"/>
      <c r="X64" s="776">
        <f t="shared" si="2"/>
        <v>0</v>
      </c>
      <c r="Y64" s="606"/>
      <c r="Z64" s="786"/>
    </row>
    <row r="65" spans="1:26" ht="38.25" customHeight="1" x14ac:dyDescent="0.2">
      <c r="A65" s="843"/>
      <c r="B65" s="414"/>
      <c r="C65" s="413"/>
      <c r="D65" s="400"/>
      <c r="E65" s="862"/>
      <c r="F65" s="147" t="s">
        <v>68</v>
      </c>
      <c r="G65" s="82" t="str">
        <f>IF(Préambule!$E$54&lt;&gt;"",HLOOKUP(Préambule!$E$54,'Liens axe 2'!$B$5:$S$13,8,FALSE),"")</f>
        <v/>
      </c>
      <c r="H65" s="82" t="e">
        <f>INDEX('Liens axe 2'!$B$5:$S$13,8,MATCH($G$58,'Liens axe 2'!$B$5:$S$5,0)+1)</f>
        <v>#N/A</v>
      </c>
      <c r="I65" s="137" t="e">
        <f>INDEX('Liens axe 2'!$B$5:$T$13,8,MATCH($G$58,'Liens axe 2'!$B$5:$T$5,0)+2)</f>
        <v>#N/A</v>
      </c>
      <c r="J65" s="4"/>
      <c r="K65" s="853"/>
      <c r="L65" s="426">
        <f>IF(Préambule!$E$54&lt;&gt;"",INDEX('Note finale'!$B$5:$AA$26,MATCH($A$27,'Note finale'!$B$5:$B$26,0),MATCH('Axe 2'!$E$31,'Note finale'!$B$4:$AA$4,0)),0)</f>
        <v>0</v>
      </c>
      <c r="M65" s="674"/>
      <c r="N65" s="776">
        <f t="shared" si="0"/>
        <v>0</v>
      </c>
      <c r="O65" s="606"/>
      <c r="P65" s="786"/>
      <c r="R65" s="800"/>
      <c r="S65" s="776">
        <f t="shared" si="1"/>
        <v>0</v>
      </c>
      <c r="T65" s="606"/>
      <c r="U65" s="786"/>
      <c r="W65" s="800"/>
      <c r="X65" s="776">
        <f t="shared" si="2"/>
        <v>0</v>
      </c>
      <c r="Y65" s="606"/>
      <c r="Z65" s="786"/>
    </row>
    <row r="66" spans="1:26" ht="15" x14ac:dyDescent="0.2">
      <c r="A66" s="843"/>
      <c r="B66" s="414"/>
      <c r="C66" s="413"/>
      <c r="D66" s="400"/>
      <c r="E66" s="862"/>
      <c r="F66" s="147" t="s">
        <v>68</v>
      </c>
      <c r="G66" s="82" t="str">
        <f>IF(Préambule!$E$54&lt;&gt;"",HLOOKUP(Préambule!$E$54,'Liens axe 2'!$B$5:$S$13,9,FALSE),"")</f>
        <v/>
      </c>
      <c r="H66" s="82" t="e">
        <f>INDEX('Liens axe 2'!$B$5:$S$13,9,MATCH($G$58,'Liens axe 2'!$B$5:$S$5,0)+1)</f>
        <v>#N/A</v>
      </c>
      <c r="I66" s="137" t="e">
        <f>INDEX('Liens axe 2'!$B$5:$T$13,9,MATCH($G$58,'Liens axe 2'!$B$5:$T$5,0)+2)</f>
        <v>#N/A</v>
      </c>
      <c r="J66" s="4"/>
      <c r="K66" s="853"/>
      <c r="L66" s="426">
        <f>IF(Préambule!$E$54&lt;&gt;"",INDEX('Note finale'!$B$5:$AA$26,MATCH($A$27,'Note finale'!$B$5:$B$26,0),MATCH('Axe 2'!$E$31,'Note finale'!$B$4:$AA$4,0)),0)</f>
        <v>0</v>
      </c>
      <c r="M66" s="674"/>
      <c r="N66" s="776">
        <f t="shared" si="0"/>
        <v>0</v>
      </c>
      <c r="O66" s="606"/>
      <c r="P66" s="786"/>
      <c r="R66" s="800"/>
      <c r="S66" s="776">
        <f t="shared" si="1"/>
        <v>0</v>
      </c>
      <c r="T66" s="606"/>
      <c r="U66" s="786"/>
      <c r="W66" s="800"/>
      <c r="X66" s="776">
        <f t="shared" si="2"/>
        <v>0</v>
      </c>
      <c r="Y66" s="606"/>
      <c r="Z66" s="786"/>
    </row>
    <row r="67" spans="1:26" ht="17.25" customHeight="1" x14ac:dyDescent="0.2">
      <c r="A67" s="843"/>
      <c r="B67" s="414"/>
      <c r="C67" s="413"/>
      <c r="D67" s="400"/>
      <c r="E67" s="862"/>
      <c r="F67" s="251" t="s">
        <v>68</v>
      </c>
      <c r="G67" s="850" t="str">
        <f>IF(Préambule!$E$55="","Toutes les installations de traitement des déchets ont déjà été développées plus haut",HLOOKUP(Préambule!E55,'Liens axe 2'!$B$5:$S$13,1,FALSE))</f>
        <v>Toutes les installations de traitement des déchets ont déjà été développées plus haut</v>
      </c>
      <c r="H67" s="851"/>
      <c r="I67" s="852"/>
      <c r="J67" s="4"/>
      <c r="K67" s="853"/>
      <c r="L67" s="426"/>
      <c r="M67" s="674"/>
      <c r="N67" s="776">
        <f t="shared" si="0"/>
        <v>0</v>
      </c>
      <c r="O67" s="606"/>
      <c r="P67" s="786"/>
      <c r="R67" s="800"/>
      <c r="S67" s="776">
        <f t="shared" si="1"/>
        <v>0</v>
      </c>
      <c r="T67" s="606"/>
      <c r="U67" s="786"/>
      <c r="W67" s="800"/>
      <c r="X67" s="776">
        <f t="shared" si="2"/>
        <v>0</v>
      </c>
      <c r="Y67" s="606"/>
      <c r="Z67" s="786"/>
    </row>
    <row r="68" spans="1:26" ht="83.25" customHeight="1" x14ac:dyDescent="0.2">
      <c r="A68" s="843"/>
      <c r="B68" s="414"/>
      <c r="C68" s="413"/>
      <c r="D68" s="400"/>
      <c r="E68" s="862"/>
      <c r="F68" s="251" t="s">
        <v>68</v>
      </c>
      <c r="G68" s="252" t="str">
        <f>IF(Préambule!$E$55&lt;&gt;"",HLOOKUP(Préambule!$E$55,'Liens axe 2'!$B$5:$S$13,2,FALSE),"")</f>
        <v/>
      </c>
      <c r="H68" s="252" t="e">
        <f>INDEX('Liens axe 2'!$B$5:$S$13,2,MATCH($G$67,'Liens axe 2'!$B$5:$S$5,0)+1)</f>
        <v>#N/A</v>
      </c>
      <c r="I68" s="253" t="e">
        <f>INDEX('Liens axe 2'!$B$5:$T$13,2,MATCH($G$67,'Liens axe 2'!$B$5:$T$5,0)+2)</f>
        <v>#N/A</v>
      </c>
      <c r="J68" s="4"/>
      <c r="K68" s="853"/>
      <c r="L68" s="426">
        <f>IF(Préambule!$E$55&lt;&gt;"",INDEX('Note finale'!$B$5:$AA$26,MATCH($A$27,'Note finale'!$B$5:$B$26,0),MATCH('Axe 2'!$E$31,'Note finale'!$B$4:$AA$4,0)),0)</f>
        <v>0</v>
      </c>
      <c r="M68" s="674"/>
      <c r="N68" s="776">
        <f t="shared" si="0"/>
        <v>0</v>
      </c>
      <c r="O68" s="606"/>
      <c r="P68" s="786"/>
      <c r="R68" s="800"/>
      <c r="S68" s="776">
        <f t="shared" si="1"/>
        <v>0</v>
      </c>
      <c r="T68" s="606"/>
      <c r="U68" s="786"/>
      <c r="W68" s="800"/>
      <c r="X68" s="776">
        <f t="shared" si="2"/>
        <v>0</v>
      </c>
      <c r="Y68" s="606"/>
      <c r="Z68" s="786"/>
    </row>
    <row r="69" spans="1:26" ht="33" customHeight="1" x14ac:dyDescent="0.2">
      <c r="A69" s="843"/>
      <c r="B69" s="414"/>
      <c r="C69" s="413"/>
      <c r="D69" s="400"/>
      <c r="E69" s="862"/>
      <c r="F69" s="251" t="s">
        <v>68</v>
      </c>
      <c r="G69" s="252" t="str">
        <f>IF(Préambule!$E$55&lt;&gt;"",HLOOKUP(Préambule!$E$55,'Liens axe 2'!$B$5:$S$13,3,FALSE),"")</f>
        <v/>
      </c>
      <c r="H69" s="252" t="e">
        <f>INDEX('Liens axe 2'!$B$5:$S$13,3,MATCH($G$67,'Liens axe 2'!$B$5:$S$5,0)+1)</f>
        <v>#N/A</v>
      </c>
      <c r="I69" s="253" t="e">
        <f>INDEX('Liens axe 2'!$B$5:$T$13,3,MATCH($G$67,'Liens axe 2'!$B$5:$T$5,0)+2)</f>
        <v>#N/A</v>
      </c>
      <c r="J69" s="4"/>
      <c r="K69" s="853"/>
      <c r="L69" s="426">
        <f>IF(Préambule!$E$55&lt;&gt;"",INDEX('Note finale'!$B$5:$AA$26,MATCH($A$27,'Note finale'!$B$5:$B$26,0),MATCH('Axe 2'!$E$31,'Note finale'!$B$4:$AA$4,0)),0)</f>
        <v>0</v>
      </c>
      <c r="M69" s="674"/>
      <c r="N69" s="776">
        <f t="shared" si="0"/>
        <v>0</v>
      </c>
      <c r="O69" s="606"/>
      <c r="P69" s="786"/>
      <c r="R69" s="800"/>
      <c r="S69" s="776">
        <f t="shared" si="1"/>
        <v>0</v>
      </c>
      <c r="T69" s="606"/>
      <c r="U69" s="786"/>
      <c r="W69" s="800"/>
      <c r="X69" s="776">
        <f t="shared" si="2"/>
        <v>0</v>
      </c>
      <c r="Y69" s="606"/>
      <c r="Z69" s="786"/>
    </row>
    <row r="70" spans="1:26" ht="63.75" customHeight="1" x14ac:dyDescent="0.2">
      <c r="A70" s="843"/>
      <c r="B70" s="414"/>
      <c r="C70" s="413"/>
      <c r="D70" s="400"/>
      <c r="E70" s="862"/>
      <c r="F70" s="251" t="s">
        <v>68</v>
      </c>
      <c r="G70" s="252" t="str">
        <f>IF(Préambule!$E$55&lt;&gt;"",HLOOKUP(Préambule!$E$55,'Liens axe 2'!$B$5:$S$13,4,FALSE),"")</f>
        <v/>
      </c>
      <c r="H70" s="252" t="e">
        <f>INDEX('Liens axe 2'!$B$5:$S$13,4,MATCH($G$67,'Liens axe 2'!$B$5:$S$5,0)+1)</f>
        <v>#N/A</v>
      </c>
      <c r="I70" s="253" t="e">
        <f>INDEX('Liens axe 2'!$B$5:$T$13,4,MATCH($G$67,'Liens axe 2'!$B$5:$T$5,0)+2)</f>
        <v>#N/A</v>
      </c>
      <c r="J70" s="4"/>
      <c r="K70" s="853"/>
      <c r="L70" s="426">
        <f>IF(Préambule!$E$55&lt;&gt;"",INDEX('Note finale'!$B$5:$AA$26,MATCH($A$27,'Note finale'!$B$5:$B$26,0),MATCH('Axe 2'!$E$31,'Note finale'!$B$4:$AA$4,0)),0)</f>
        <v>0</v>
      </c>
      <c r="M70" s="674"/>
      <c r="N70" s="776">
        <f t="shared" si="0"/>
        <v>0</v>
      </c>
      <c r="O70" s="606"/>
      <c r="P70" s="786"/>
      <c r="R70" s="800"/>
      <c r="S70" s="776">
        <f t="shared" si="1"/>
        <v>0</v>
      </c>
      <c r="T70" s="606"/>
      <c r="U70" s="786"/>
      <c r="W70" s="800"/>
      <c r="X70" s="776">
        <f t="shared" si="2"/>
        <v>0</v>
      </c>
      <c r="Y70" s="606"/>
      <c r="Z70" s="786"/>
    </row>
    <row r="71" spans="1:26" ht="51.75" customHeight="1" x14ac:dyDescent="0.2">
      <c r="A71" s="843"/>
      <c r="B71" s="414"/>
      <c r="C71" s="413"/>
      <c r="D71" s="400"/>
      <c r="E71" s="862"/>
      <c r="F71" s="251" t="s">
        <v>68</v>
      </c>
      <c r="G71" s="252" t="str">
        <f>IF(Préambule!$E$55&lt;&gt;"",HLOOKUP(Préambule!$E$55,'Liens axe 2'!$B$5:$S$13,5,FALSE),"")</f>
        <v/>
      </c>
      <c r="H71" s="252" t="e">
        <f>INDEX('Liens axe 2'!$B$5:$S$13,5,MATCH($G$67,'Liens axe 2'!$B$5:$S$5,0)+1)</f>
        <v>#N/A</v>
      </c>
      <c r="I71" s="253" t="e">
        <f>INDEX('Liens axe 2'!$B$5:$T$13,5,MATCH($G$67,'Liens axe 2'!$B$5:$T$5,0)+2)</f>
        <v>#N/A</v>
      </c>
      <c r="J71" s="4"/>
      <c r="K71" s="853"/>
      <c r="L71" s="426">
        <f>IF(Préambule!$E$55&lt;&gt;"",INDEX('Note finale'!$B$5:$AA$26,MATCH($A$27,'Note finale'!$B$5:$B$26,0),MATCH('Axe 2'!$E$31,'Note finale'!$B$4:$AA$4,0)),0)</f>
        <v>0</v>
      </c>
      <c r="M71" s="674"/>
      <c r="N71" s="776">
        <f t="shared" ref="N71:N104" si="3">L71*M71</f>
        <v>0</v>
      </c>
      <c r="O71" s="606"/>
      <c r="P71" s="786"/>
      <c r="R71" s="800"/>
      <c r="S71" s="776">
        <f t="shared" ref="S71:S104" si="4">L71*R71</f>
        <v>0</v>
      </c>
      <c r="T71" s="606"/>
      <c r="U71" s="786"/>
      <c r="W71" s="800"/>
      <c r="X71" s="776">
        <f t="shared" ref="X71:X104" si="5">L71*W71</f>
        <v>0</v>
      </c>
      <c r="Y71" s="606"/>
      <c r="Z71" s="786"/>
    </row>
    <row r="72" spans="1:26" ht="29.25" customHeight="1" x14ac:dyDescent="0.2">
      <c r="A72" s="843"/>
      <c r="B72" s="414"/>
      <c r="C72" s="413"/>
      <c r="D72" s="400"/>
      <c r="E72" s="862"/>
      <c r="F72" s="251" t="s">
        <v>68</v>
      </c>
      <c r="G72" s="252" t="str">
        <f>IF(Préambule!$E$55&lt;&gt;"",HLOOKUP(Préambule!$E$55,'Liens axe 2'!$B$5:$S$13,6,FALSE),"")</f>
        <v/>
      </c>
      <c r="H72" s="252" t="e">
        <f>INDEX('Liens axe 2'!$B$5:$S$13,6,MATCH($G$67,'Liens axe 2'!$B$5:$S$5,0)+1)</f>
        <v>#N/A</v>
      </c>
      <c r="I72" s="253" t="e">
        <f>INDEX('Liens axe 2'!$B$5:$T$13,6,MATCH($G$67,'Liens axe 2'!$B$5:$T$5,0)+2)</f>
        <v>#N/A</v>
      </c>
      <c r="J72" s="4"/>
      <c r="K72" s="853"/>
      <c r="L72" s="426">
        <f>IF(Préambule!$E$55&lt;&gt;"",INDEX('Note finale'!$B$5:$AA$26,MATCH($A$27,'Note finale'!$B$5:$B$26,0),MATCH('Axe 2'!$E$31,'Note finale'!$B$4:$AA$4,0)),0)</f>
        <v>0</v>
      </c>
      <c r="M72" s="674"/>
      <c r="N72" s="776">
        <f t="shared" si="3"/>
        <v>0</v>
      </c>
      <c r="O72" s="606"/>
      <c r="P72" s="786"/>
      <c r="R72" s="800"/>
      <c r="S72" s="776">
        <f t="shared" si="4"/>
        <v>0</v>
      </c>
      <c r="T72" s="606"/>
      <c r="U72" s="786"/>
      <c r="W72" s="800"/>
      <c r="X72" s="776">
        <f t="shared" si="5"/>
        <v>0</v>
      </c>
      <c r="Y72" s="606"/>
      <c r="Z72" s="786"/>
    </row>
    <row r="73" spans="1:26" ht="57.75" customHeight="1" x14ac:dyDescent="0.2">
      <c r="A73" s="843"/>
      <c r="B73" s="414"/>
      <c r="C73" s="413"/>
      <c r="D73" s="400"/>
      <c r="E73" s="862"/>
      <c r="F73" s="251" t="s">
        <v>68</v>
      </c>
      <c r="G73" s="252" t="str">
        <f>IF(Préambule!$E$55&lt;&gt;"",HLOOKUP(Préambule!$E$55,'Liens axe 2'!$B$5:$S$13,7,FALSE),"")</f>
        <v/>
      </c>
      <c r="H73" s="252" t="e">
        <f>INDEX('Liens axe 2'!$B$5:$S$13,7,MATCH($G$67,'Liens axe 2'!$B$5:$S$5,0)+1)</f>
        <v>#N/A</v>
      </c>
      <c r="I73" s="253" t="e">
        <f>INDEX('Liens axe 2'!$B$5:$T$13,7,MATCH($G$67,'Liens axe 2'!$B$5:$T$5,0)+2)</f>
        <v>#N/A</v>
      </c>
      <c r="J73" s="4"/>
      <c r="K73" s="853"/>
      <c r="L73" s="426">
        <f>IF(Préambule!$E$55&lt;&gt;"",INDEX('Note finale'!$B$5:$AA$26,MATCH($A$27,'Note finale'!$B$5:$B$26,0),MATCH('Axe 2'!$E$31,'Note finale'!$B$4:$AA$4,0)),0)</f>
        <v>0</v>
      </c>
      <c r="M73" s="674"/>
      <c r="N73" s="776">
        <f t="shared" si="3"/>
        <v>0</v>
      </c>
      <c r="O73" s="606"/>
      <c r="P73" s="786"/>
      <c r="R73" s="800"/>
      <c r="S73" s="776">
        <f t="shared" si="4"/>
        <v>0</v>
      </c>
      <c r="T73" s="606"/>
      <c r="U73" s="786"/>
      <c r="W73" s="800"/>
      <c r="X73" s="776">
        <f t="shared" si="5"/>
        <v>0</v>
      </c>
      <c r="Y73" s="606"/>
      <c r="Z73" s="786"/>
    </row>
    <row r="74" spans="1:26" ht="27.75" customHeight="1" x14ac:dyDescent="0.2">
      <c r="A74" s="843"/>
      <c r="B74" s="414"/>
      <c r="C74" s="413"/>
      <c r="D74" s="400"/>
      <c r="E74" s="862"/>
      <c r="F74" s="251" t="s">
        <v>68</v>
      </c>
      <c r="G74" s="252" t="str">
        <f>IF(Préambule!$E$55&lt;&gt;"",HLOOKUP(Préambule!$E$55,'Liens axe 2'!$B$5:$S$13,8,FALSE),"")</f>
        <v/>
      </c>
      <c r="H74" s="252" t="e">
        <f>INDEX('Liens axe 2'!$B$5:$S$13,8,MATCH($G$67,'Liens axe 2'!$B$5:$S$5,0)+1)</f>
        <v>#N/A</v>
      </c>
      <c r="I74" s="253" t="e">
        <f>INDEX('Liens axe 2'!$B$5:$T$13,8,MATCH($G$67,'Liens axe 2'!$B$5:$T$5,0)+2)</f>
        <v>#N/A</v>
      </c>
      <c r="J74" s="4"/>
      <c r="K74" s="853"/>
      <c r="L74" s="426">
        <f>IF(Préambule!$E$55&lt;&gt;"",INDEX('Note finale'!$B$5:$AA$26,MATCH($A$27,'Note finale'!$B$5:$B$26,0),MATCH('Axe 2'!$E$31,'Note finale'!$B$4:$AA$4,0)),0)</f>
        <v>0</v>
      </c>
      <c r="M74" s="674"/>
      <c r="N74" s="776">
        <f t="shared" si="3"/>
        <v>0</v>
      </c>
      <c r="O74" s="606"/>
      <c r="P74" s="786"/>
      <c r="R74" s="800"/>
      <c r="S74" s="776">
        <f t="shared" si="4"/>
        <v>0</v>
      </c>
      <c r="T74" s="606"/>
      <c r="U74" s="786"/>
      <c r="W74" s="800"/>
      <c r="X74" s="776">
        <f t="shared" si="5"/>
        <v>0</v>
      </c>
      <c r="Y74" s="606"/>
      <c r="Z74" s="786"/>
    </row>
    <row r="75" spans="1:26" ht="27.75" customHeight="1" x14ac:dyDescent="0.2">
      <c r="A75" s="843"/>
      <c r="B75" s="414"/>
      <c r="C75" s="413"/>
      <c r="D75" s="400"/>
      <c r="E75" s="865"/>
      <c r="F75" s="405" t="s">
        <v>68</v>
      </c>
      <c r="G75" s="406" t="str">
        <f>IF(Préambule!$E$55&lt;&gt;"",HLOOKUP(Préambule!$E$55,'Liens axe 2'!$B$5:$S$13,9,FALSE),"")</f>
        <v/>
      </c>
      <c r="H75" s="406" t="e">
        <f>INDEX('Liens axe 2'!$B$5:$S$13,9,MATCH($G$67,'Liens axe 2'!$B$5:$S$5,0)+1)</f>
        <v>#N/A</v>
      </c>
      <c r="I75" s="407" t="e">
        <f>INDEX('Liens axe 2'!$B$5:$T$13,9,MATCH($G$67,'Liens axe 2'!$B$5:$T$5,0)+2)</f>
        <v>#N/A</v>
      </c>
      <c r="J75" s="4"/>
      <c r="K75" s="854"/>
      <c r="L75" s="427">
        <f>IF(Préambule!$E$55&lt;&gt;"",INDEX('Note finale'!$B$5:$AA$26,MATCH($A$27,'Note finale'!$B$5:$B$26,0),MATCH('Axe 2'!$E$31,'Note finale'!$B$4:$AA$4,0)),0)</f>
        <v>0</v>
      </c>
      <c r="M75" s="633"/>
      <c r="N75" s="777">
        <f t="shared" si="3"/>
        <v>0</v>
      </c>
      <c r="O75" s="632"/>
      <c r="P75" s="787"/>
      <c r="R75" s="629"/>
      <c r="S75" s="777">
        <f t="shared" si="4"/>
        <v>0</v>
      </c>
      <c r="T75" s="632"/>
      <c r="U75" s="787"/>
      <c r="W75" s="629"/>
      <c r="X75" s="777">
        <f t="shared" si="5"/>
        <v>0</v>
      </c>
      <c r="Y75" s="632"/>
      <c r="Z75" s="787"/>
    </row>
    <row r="76" spans="1:26" s="597" customFormat="1" ht="7.5" customHeight="1" x14ac:dyDescent="0.25">
      <c r="B76" s="649"/>
      <c r="D76" s="650"/>
      <c r="E76" s="590"/>
      <c r="F76" s="594"/>
      <c r="G76" s="651"/>
      <c r="H76" s="652"/>
      <c r="K76" s="653"/>
      <c r="L76" s="596"/>
      <c r="M76" s="788"/>
      <c r="N76" s="789"/>
      <c r="O76" s="790"/>
      <c r="P76" s="790"/>
      <c r="R76" s="788"/>
      <c r="S76" s="789"/>
      <c r="T76" s="790"/>
      <c r="U76" s="790"/>
      <c r="W76" s="788"/>
      <c r="X76" s="789"/>
      <c r="Y76" s="790"/>
      <c r="Z76" s="790"/>
    </row>
    <row r="77" spans="1:26" ht="109.5" customHeight="1" x14ac:dyDescent="0.2">
      <c r="A77" s="843" t="s">
        <v>122</v>
      </c>
      <c r="B77" s="840" t="s">
        <v>123</v>
      </c>
      <c r="C77" s="836" t="s">
        <v>528</v>
      </c>
      <c r="D77" s="401">
        <v>52</v>
      </c>
      <c r="E77" s="861" t="s">
        <v>67</v>
      </c>
      <c r="F77" s="146" t="s">
        <v>68</v>
      </c>
      <c r="G77" s="70" t="s">
        <v>124</v>
      </c>
      <c r="H77" s="84" t="str">
        <f>IF(VLOOKUP(D77,'Indicateurs - en cours'!$C$78:$J$104,8,FALSE)&lt;&gt;0,VLOOKUP(D77,'Indicateurs - en cours'!$C$78:$J$104,8,FALSE),"")</f>
        <v>Taux d'accidents dans la déchèterie</v>
      </c>
      <c r="I77" s="85"/>
      <c r="K77" s="873">
        <v>10</v>
      </c>
      <c r="L77" s="425">
        <f>INDEX('Note finale'!$B$5:$AA$26,MATCH($A$77,'Note finale'!$B$5:$B$26,0),MATCH('Axe 2'!$E$77,'Note finale'!$B$4:$AA$4,0))</f>
        <v>1.2300123001230013E-3</v>
      </c>
      <c r="M77" s="791"/>
      <c r="N77" s="775">
        <f t="shared" si="3"/>
        <v>0</v>
      </c>
      <c r="O77" s="619"/>
      <c r="P77" s="792"/>
      <c r="R77" s="801"/>
      <c r="S77" s="775">
        <f t="shared" si="4"/>
        <v>0</v>
      </c>
      <c r="T77" s="619"/>
      <c r="U77" s="792"/>
      <c r="W77" s="801"/>
      <c r="X77" s="775">
        <f t="shared" si="5"/>
        <v>0</v>
      </c>
      <c r="Y77" s="619"/>
      <c r="Z77" s="792"/>
    </row>
    <row r="78" spans="1:26" ht="45" customHeight="1" x14ac:dyDescent="0.2">
      <c r="A78" s="843"/>
      <c r="B78" s="840"/>
      <c r="C78" s="836"/>
      <c r="D78" s="401">
        <v>53</v>
      </c>
      <c r="E78" s="862"/>
      <c r="F78" s="147" t="s">
        <v>68</v>
      </c>
      <c r="G78" s="86" t="s">
        <v>125</v>
      </c>
      <c r="H78" s="87" t="str">
        <f>IF(VLOOKUP(D78,'Indicateurs - en cours'!$C$78:$J$104,8,FALSE)&lt;&gt;0,VLOOKUP(D78,'Indicateurs - en cours'!$C$78:$J$104,8,FALSE),"")</f>
        <v>Si la configuration territoriale le permet, une étude sur les possibilités de réduction de la quantité de déchets transportés par route a été réalisée</v>
      </c>
      <c r="I78" s="88"/>
      <c r="K78" s="872"/>
      <c r="L78" s="426">
        <f>INDEX('Note finale'!$B$5:$AA$26,MATCH($A$77,'Note finale'!$B$5:$B$26,0),MATCH('Axe 2'!$E$77,'Note finale'!$B$4:$AA$4,0))</f>
        <v>1.2300123001230013E-3</v>
      </c>
      <c r="M78" s="674"/>
      <c r="N78" s="776">
        <f t="shared" si="3"/>
        <v>0</v>
      </c>
      <c r="O78" s="606"/>
      <c r="P78" s="786"/>
      <c r="R78" s="800"/>
      <c r="S78" s="776">
        <f t="shared" si="4"/>
        <v>0</v>
      </c>
      <c r="T78" s="606"/>
      <c r="U78" s="786"/>
      <c r="W78" s="800"/>
      <c r="X78" s="776">
        <f t="shared" si="5"/>
        <v>0</v>
      </c>
      <c r="Y78" s="606"/>
      <c r="Z78" s="786"/>
    </row>
    <row r="79" spans="1:26" ht="38.25" x14ac:dyDescent="0.2">
      <c r="A79" s="843"/>
      <c r="B79" s="840"/>
      <c r="C79" s="836"/>
      <c r="D79" s="401">
        <v>54</v>
      </c>
      <c r="E79" s="863"/>
      <c r="F79" s="147" t="s">
        <v>68</v>
      </c>
      <c r="G79" s="86" t="s">
        <v>126</v>
      </c>
      <c r="H79" s="87" t="str">
        <f>IF(VLOOKUP(D79,'Indicateurs - en cours'!$C$78:$J$104,8,FALSE)&lt;&gt;0,VLOOKUP(D79,'Indicateurs - en cours'!$C$78:$J$104,8,FALSE),"")</f>
        <v>Si la configuration territoriale le permet, une étude sur la pertinence de la mise en place d'un centre de transfert a été réalisée</v>
      </c>
      <c r="I79" s="88"/>
      <c r="K79" s="872"/>
      <c r="L79" s="426">
        <f>INDEX('Note finale'!$B$5:$AA$26,MATCH($A$77,'Note finale'!$B$5:$B$26,0),MATCH('Axe 2'!$E$77,'Note finale'!$B$4:$AA$4,0))</f>
        <v>1.2300123001230013E-3</v>
      </c>
      <c r="M79" s="674"/>
      <c r="N79" s="776">
        <f t="shared" si="3"/>
        <v>0</v>
      </c>
      <c r="O79" s="606"/>
      <c r="P79" s="786"/>
      <c r="R79" s="800"/>
      <c r="S79" s="776">
        <f t="shared" si="4"/>
        <v>0</v>
      </c>
      <c r="T79" s="606"/>
      <c r="U79" s="786"/>
      <c r="W79" s="800"/>
      <c r="X79" s="776">
        <f t="shared" si="5"/>
        <v>0</v>
      </c>
      <c r="Y79" s="606"/>
      <c r="Z79" s="786"/>
    </row>
    <row r="80" spans="1:26" ht="38.25" x14ac:dyDescent="0.2">
      <c r="A80" s="843"/>
      <c r="B80" s="840"/>
      <c r="C80" s="836"/>
      <c r="D80" s="401">
        <v>55</v>
      </c>
      <c r="E80" s="869" t="s">
        <v>73</v>
      </c>
      <c r="F80" s="149" t="s">
        <v>68</v>
      </c>
      <c r="G80" s="68" t="s">
        <v>643</v>
      </c>
      <c r="H80" s="87" t="str">
        <f>IF(VLOOKUP(D80,'Indicateurs - en cours'!$C$78:$J$104,8,FALSE)&lt;&gt;0,VLOOKUP(D80,'Indicateurs - en cours'!$C$78:$J$104,8,FALSE),"")</f>
        <v>Tous les sites de traitement des déchets de la collectivité sont certifiés ISO 14001 (ou 50001), 9001 et 18001</v>
      </c>
      <c r="I80" s="88"/>
      <c r="K80" s="872">
        <v>60</v>
      </c>
      <c r="L80" s="426">
        <f>INDEX('Note finale'!$B$5:$AA$26,MATCH($A$77,'Note finale'!$B$5:$B$26,0),MATCH('Axe 2'!$E$80,'Note finale'!$B$4:$AA$4,0))</f>
        <v>2.2140221402214021E-3</v>
      </c>
      <c r="M80" s="674"/>
      <c r="N80" s="776">
        <f t="shared" si="3"/>
        <v>0</v>
      </c>
      <c r="O80" s="606"/>
      <c r="P80" s="786"/>
      <c r="R80" s="800"/>
      <c r="S80" s="776">
        <f t="shared" si="4"/>
        <v>0</v>
      </c>
      <c r="T80" s="606"/>
      <c r="U80" s="786"/>
      <c r="W80" s="800"/>
      <c r="X80" s="776">
        <f t="shared" si="5"/>
        <v>0</v>
      </c>
      <c r="Y80" s="606"/>
      <c r="Z80" s="786"/>
    </row>
    <row r="81" spans="1:26" ht="63" customHeight="1" x14ac:dyDescent="0.2">
      <c r="A81" s="843"/>
      <c r="B81" s="840"/>
      <c r="C81" s="836"/>
      <c r="D81" s="401">
        <v>56</v>
      </c>
      <c r="E81" s="870"/>
      <c r="F81" s="149" t="s">
        <v>68</v>
      </c>
      <c r="G81" s="86" t="s">
        <v>127</v>
      </c>
      <c r="H81" s="87" t="str">
        <f>IF(VLOOKUP(D81,'Indicateurs - en cours'!$C$78:$J$104,8,FALSE)&lt;&gt;0,VLOOKUP(D81,'Indicateurs - en cours'!$C$78:$J$104,8,FALSE),"")</f>
        <v>Taux d'accidents dans la collecte des OMR et progression annuelle</v>
      </c>
      <c r="I81" s="88"/>
      <c r="K81" s="872"/>
      <c r="L81" s="426">
        <f>INDEX('Note finale'!$B$5:$AA$26,MATCH($A$77,'Note finale'!$B$5:$B$26,0),MATCH('Axe 2'!$E$80,'Note finale'!$B$4:$AA$4,0))</f>
        <v>2.2140221402214021E-3</v>
      </c>
      <c r="M81" s="674"/>
      <c r="N81" s="776">
        <f t="shared" si="3"/>
        <v>0</v>
      </c>
      <c r="O81" s="606"/>
      <c r="P81" s="786"/>
      <c r="R81" s="800"/>
      <c r="S81" s="776">
        <f t="shared" si="4"/>
        <v>0</v>
      </c>
      <c r="T81" s="606"/>
      <c r="U81" s="786"/>
      <c r="W81" s="800"/>
      <c r="X81" s="776">
        <f t="shared" si="5"/>
        <v>0</v>
      </c>
      <c r="Y81" s="606"/>
      <c r="Z81" s="786"/>
    </row>
    <row r="82" spans="1:26" ht="38.25" x14ac:dyDescent="0.2">
      <c r="A82" s="843"/>
      <c r="B82" s="840"/>
      <c r="C82" s="836"/>
      <c r="D82" s="401">
        <v>57</v>
      </c>
      <c r="E82" s="870"/>
      <c r="F82" s="149" t="s">
        <v>68</v>
      </c>
      <c r="G82" s="86" t="s">
        <v>128</v>
      </c>
      <c r="H82" s="87" t="str">
        <f>IF(VLOOKUP(D82,'Indicateurs - en cours'!$C$78:$J$104,8,FALSE)&lt;&gt;0,VLOOKUP(D82,'Indicateurs - en cours'!$C$78:$J$104,8,FALSE),"")</f>
        <v/>
      </c>
      <c r="I82" s="88"/>
      <c r="K82" s="872"/>
      <c r="L82" s="426">
        <f>INDEX('Note finale'!$B$5:$AA$26,MATCH($A$77,'Note finale'!$B$5:$B$26,0),MATCH('Axe 2'!$E$80,'Note finale'!$B$4:$AA$4,0))</f>
        <v>2.2140221402214021E-3</v>
      </c>
      <c r="M82" s="674"/>
      <c r="N82" s="776">
        <f t="shared" si="3"/>
        <v>0</v>
      </c>
      <c r="O82" s="606"/>
      <c r="P82" s="786"/>
      <c r="R82" s="800"/>
      <c r="S82" s="776">
        <f t="shared" si="4"/>
        <v>0</v>
      </c>
      <c r="T82" s="606"/>
      <c r="U82" s="786"/>
      <c r="W82" s="800"/>
      <c r="X82" s="776">
        <f t="shared" si="5"/>
        <v>0</v>
      </c>
      <c r="Y82" s="606"/>
      <c r="Z82" s="786"/>
    </row>
    <row r="83" spans="1:26" ht="30" customHeight="1" x14ac:dyDescent="0.2">
      <c r="A83" s="843"/>
      <c r="B83" s="840"/>
      <c r="C83" s="836"/>
      <c r="D83" s="401">
        <v>58</v>
      </c>
      <c r="E83" s="870"/>
      <c r="F83" s="149" t="s">
        <v>68</v>
      </c>
      <c r="G83" s="86" t="s">
        <v>622</v>
      </c>
      <c r="H83" s="87" t="str">
        <f>IF(VLOOKUP(D83,'Indicateurs - en cours'!$C$78:$J$104,8,FALSE)&lt;&gt;0,VLOOKUP(D83,'Indicateurs - en cours'!$C$78:$J$104,8,FALSE),"")</f>
        <v/>
      </c>
      <c r="I83" s="88"/>
      <c r="K83" s="872"/>
      <c r="L83" s="426">
        <f>INDEX('Note finale'!$B$5:$AA$26,MATCH($A$77,'Note finale'!$B$5:$B$26,0),MATCH('Axe 2'!$E$80,'Note finale'!$B$4:$AA$4,0))</f>
        <v>2.2140221402214021E-3</v>
      </c>
      <c r="M83" s="674"/>
      <c r="N83" s="776">
        <f t="shared" si="3"/>
        <v>0</v>
      </c>
      <c r="O83" s="606"/>
      <c r="P83" s="786"/>
      <c r="R83" s="800"/>
      <c r="S83" s="776">
        <f t="shared" si="4"/>
        <v>0</v>
      </c>
      <c r="T83" s="606"/>
      <c r="U83" s="786"/>
      <c r="W83" s="800"/>
      <c r="X83" s="776">
        <f t="shared" si="5"/>
        <v>0</v>
      </c>
      <c r="Y83" s="606"/>
      <c r="Z83" s="786"/>
    </row>
    <row r="84" spans="1:26" ht="24" customHeight="1" x14ac:dyDescent="0.2">
      <c r="A84" s="843"/>
      <c r="B84" s="840"/>
      <c r="C84" s="836"/>
      <c r="D84" s="401">
        <v>59</v>
      </c>
      <c r="E84" s="870"/>
      <c r="F84" s="149" t="s">
        <v>68</v>
      </c>
      <c r="G84" s="86" t="s">
        <v>129</v>
      </c>
      <c r="H84" s="87" t="str">
        <f>IF(VLOOKUP(D84,'Indicateurs - en cours'!$C$78:$J$104,8,FALSE)&lt;&gt;0,VLOOKUP(D84,'Indicateurs - en cours'!$C$78:$J$104,8,FALSE),"")</f>
        <v/>
      </c>
      <c r="I84" s="88"/>
      <c r="K84" s="872"/>
      <c r="L84" s="426">
        <f>INDEX('Note finale'!$B$5:$AA$26,MATCH($A$77,'Note finale'!$B$5:$B$26,0),MATCH('Axe 2'!$E$80,'Note finale'!$B$4:$AA$4,0))</f>
        <v>2.2140221402214021E-3</v>
      </c>
      <c r="M84" s="674"/>
      <c r="N84" s="776">
        <f t="shared" si="3"/>
        <v>0</v>
      </c>
      <c r="O84" s="606"/>
      <c r="P84" s="786"/>
      <c r="R84" s="800"/>
      <c r="S84" s="776">
        <f t="shared" si="4"/>
        <v>0</v>
      </c>
      <c r="T84" s="606"/>
      <c r="U84" s="786"/>
      <c r="W84" s="800"/>
      <c r="X84" s="776">
        <f t="shared" si="5"/>
        <v>0</v>
      </c>
      <c r="Y84" s="606"/>
      <c r="Z84" s="786"/>
    </row>
    <row r="85" spans="1:26" ht="15" customHeight="1" x14ac:dyDescent="0.2">
      <c r="A85" s="843"/>
      <c r="B85" s="840"/>
      <c r="C85" s="836"/>
      <c r="D85" s="401">
        <v>60</v>
      </c>
      <c r="E85" s="870"/>
      <c r="F85" s="149" t="s">
        <v>68</v>
      </c>
      <c r="G85" s="86" t="s">
        <v>130</v>
      </c>
      <c r="H85" s="87" t="str">
        <f>IF(VLOOKUP(D85,'Indicateurs - en cours'!$C$78:$J$104,8,FALSE)&lt;&gt;0,VLOOKUP(D85,'Indicateurs - en cours'!$C$78:$J$104,8,FALSE),"")</f>
        <v/>
      </c>
      <c r="I85" s="88"/>
      <c r="K85" s="872"/>
      <c r="L85" s="426">
        <f>INDEX('Note finale'!$B$5:$AA$26,MATCH($A$77,'Note finale'!$B$5:$B$26,0),MATCH('Axe 2'!$E$80,'Note finale'!$B$4:$AA$4,0))</f>
        <v>2.2140221402214021E-3</v>
      </c>
      <c r="M85" s="674"/>
      <c r="N85" s="776">
        <f t="shared" si="3"/>
        <v>0</v>
      </c>
      <c r="O85" s="606"/>
      <c r="P85" s="786"/>
      <c r="R85" s="800"/>
      <c r="S85" s="776">
        <f t="shared" si="4"/>
        <v>0</v>
      </c>
      <c r="T85" s="606"/>
      <c r="U85" s="786"/>
      <c r="W85" s="800"/>
      <c r="X85" s="776">
        <f t="shared" si="5"/>
        <v>0</v>
      </c>
      <c r="Y85" s="606"/>
      <c r="Z85" s="786"/>
    </row>
    <row r="86" spans="1:26" ht="44.25" customHeight="1" x14ac:dyDescent="0.2">
      <c r="A86" s="843"/>
      <c r="B86" s="840"/>
      <c r="C86" s="836"/>
      <c r="D86" s="401">
        <v>61</v>
      </c>
      <c r="E86" s="870"/>
      <c r="F86" s="149" t="s">
        <v>68</v>
      </c>
      <c r="G86" s="86" t="s">
        <v>131</v>
      </c>
      <c r="H86" s="87" t="str">
        <f>IF(VLOOKUP(D86,'Indicateurs - en cours'!$C$78:$J$104,8,FALSE)&lt;&gt;0,VLOOKUP(D86,'Indicateurs - en cours'!$C$78:$J$104,8,FALSE),"")</f>
        <v>Distance parcourue par les bennes</v>
      </c>
      <c r="I86" s="88"/>
      <c r="K86" s="872"/>
      <c r="L86" s="426">
        <f>INDEX('Note finale'!$B$5:$AA$26,MATCH($A$77,'Note finale'!$B$5:$B$26,0),MATCH('Axe 2'!$E$80,'Note finale'!$B$4:$AA$4,0))</f>
        <v>2.2140221402214021E-3</v>
      </c>
      <c r="M86" s="674"/>
      <c r="N86" s="776">
        <f t="shared" si="3"/>
        <v>0</v>
      </c>
      <c r="O86" s="606"/>
      <c r="P86" s="786"/>
      <c r="R86" s="800"/>
      <c r="S86" s="776">
        <f t="shared" si="4"/>
        <v>0</v>
      </c>
      <c r="T86" s="606"/>
      <c r="U86" s="786"/>
      <c r="W86" s="800"/>
      <c r="X86" s="776">
        <f t="shared" si="5"/>
        <v>0</v>
      </c>
      <c r="Y86" s="606"/>
      <c r="Z86" s="786"/>
    </row>
    <row r="87" spans="1:26" ht="36" customHeight="1" x14ac:dyDescent="0.2">
      <c r="A87" s="843"/>
      <c r="B87" s="840"/>
      <c r="C87" s="836"/>
      <c r="D87" s="401">
        <v>62</v>
      </c>
      <c r="E87" s="870"/>
      <c r="F87" s="149" t="s">
        <v>68</v>
      </c>
      <c r="G87" s="86" t="s">
        <v>132</v>
      </c>
      <c r="H87" s="87" t="str">
        <f>IF(VLOOKUP(D87,'Indicateurs - en cours'!$C$78:$J$104,8,FALSE)&lt;&gt;0,VLOOKUP(D87,'Indicateurs - en cours'!$C$78:$J$104,8,FALSE),"")</f>
        <v>Quantité de déchets reporté de la route vers la voie d'eau/ferrée</v>
      </c>
      <c r="I87" s="88"/>
      <c r="K87" s="872"/>
      <c r="L87" s="426">
        <f>INDEX('Note finale'!$B$5:$AA$26,MATCH($A$77,'Note finale'!$B$5:$B$26,0),MATCH('Axe 2'!$E$80,'Note finale'!$B$4:$AA$4,0))</f>
        <v>2.2140221402214021E-3</v>
      </c>
      <c r="M87" s="674"/>
      <c r="N87" s="776">
        <f t="shared" si="3"/>
        <v>0</v>
      </c>
      <c r="O87" s="606"/>
      <c r="P87" s="786"/>
      <c r="R87" s="800"/>
      <c r="S87" s="776">
        <f t="shared" si="4"/>
        <v>0</v>
      </c>
      <c r="T87" s="606"/>
      <c r="U87" s="786"/>
      <c r="W87" s="800"/>
      <c r="X87" s="776">
        <f t="shared" si="5"/>
        <v>0</v>
      </c>
      <c r="Y87" s="606"/>
      <c r="Z87" s="786"/>
    </row>
    <row r="88" spans="1:26" ht="67.5" customHeight="1" x14ac:dyDescent="0.2">
      <c r="A88" s="843"/>
      <c r="B88" s="840"/>
      <c r="C88" s="836"/>
      <c r="D88" s="401">
        <v>63</v>
      </c>
      <c r="E88" s="870"/>
      <c r="F88" s="149" t="s">
        <v>68</v>
      </c>
      <c r="G88" s="89" t="s">
        <v>623</v>
      </c>
      <c r="H88" s="87" t="str">
        <f>IF(VLOOKUP(D88,'Indicateurs - en cours'!$C$78:$J$104,8,FALSE)&lt;&gt;0,VLOOKUP(D88,'Indicateurs - en cours'!$C$78:$J$104,8,FALSE),"")</f>
        <v>Une procédure de traitement des plaintes est opérationnelle et efficace. Des opérations "odorantes" sont réalisées dès que possible lorsque les conditions météorologiques sont favorables.</v>
      </c>
      <c r="I88" s="88" t="s">
        <v>766</v>
      </c>
      <c r="K88" s="872"/>
      <c r="L88" s="426">
        <f>INDEX('Note finale'!$B$5:$AA$26,MATCH($A$77,'Note finale'!$B$5:$B$26,0),MATCH('Axe 2'!$E$80,'Note finale'!$B$4:$AA$4,0))</f>
        <v>2.2140221402214021E-3</v>
      </c>
      <c r="M88" s="674"/>
      <c r="N88" s="776">
        <f t="shared" si="3"/>
        <v>0</v>
      </c>
      <c r="O88" s="606"/>
      <c r="P88" s="786"/>
      <c r="R88" s="800"/>
      <c r="S88" s="776">
        <f t="shared" si="4"/>
        <v>0</v>
      </c>
      <c r="T88" s="606"/>
      <c r="U88" s="786"/>
      <c r="W88" s="800"/>
      <c r="X88" s="776">
        <f t="shared" si="5"/>
        <v>0</v>
      </c>
      <c r="Y88" s="606"/>
      <c r="Z88" s="786"/>
    </row>
    <row r="89" spans="1:26" ht="81.75" customHeight="1" x14ac:dyDescent="0.2">
      <c r="A89" s="843"/>
      <c r="B89" s="840"/>
      <c r="C89" s="836"/>
      <c r="D89" s="401">
        <v>64</v>
      </c>
      <c r="E89" s="876"/>
      <c r="F89" s="149" t="s">
        <v>68</v>
      </c>
      <c r="G89" s="89" t="s">
        <v>133</v>
      </c>
      <c r="H89" s="87" t="str">
        <f>IF(VLOOKUP(D89,'Indicateurs - en cours'!$C$78:$J$104,8,FALSE)&lt;&gt;0,VLOOKUP(D89,'Indicateurs - en cours'!$C$78:$J$104,8,FALSE),"")</f>
        <v>Quantité de recyclables ménagers et assimilés collectés en PàP ou PaV</v>
      </c>
      <c r="I89" s="88" t="s">
        <v>134</v>
      </c>
      <c r="K89" s="872"/>
      <c r="L89" s="426">
        <f>INDEX('Note finale'!$B$5:$AA$26,MATCH($A$77,'Note finale'!$B$5:$B$26,0),MATCH('Axe 2'!$E$80,'Note finale'!$B$4:$AA$4,0))</f>
        <v>2.2140221402214021E-3</v>
      </c>
      <c r="M89" s="674"/>
      <c r="N89" s="776">
        <f t="shared" si="3"/>
        <v>0</v>
      </c>
      <c r="O89" s="606"/>
      <c r="P89" s="786"/>
      <c r="R89" s="800"/>
      <c r="S89" s="776">
        <f t="shared" si="4"/>
        <v>0</v>
      </c>
      <c r="T89" s="606"/>
      <c r="U89" s="786"/>
      <c r="W89" s="800"/>
      <c r="X89" s="776">
        <f t="shared" si="5"/>
        <v>0</v>
      </c>
      <c r="Y89" s="606"/>
      <c r="Z89" s="786"/>
    </row>
    <row r="90" spans="1:26" ht="34.5" customHeight="1" x14ac:dyDescent="0.2">
      <c r="A90" s="843"/>
      <c r="B90" s="840"/>
      <c r="C90" s="836"/>
      <c r="D90" s="401">
        <v>65</v>
      </c>
      <c r="E90" s="869" t="s">
        <v>75</v>
      </c>
      <c r="F90" s="149" t="s">
        <v>68</v>
      </c>
      <c r="G90" s="86" t="s">
        <v>135</v>
      </c>
      <c r="H90" s="87" t="str">
        <f>IF(VLOOKUP(D90,'Indicateurs - en cours'!$C$78:$J$104,8,FALSE)&lt;&gt;0,VLOOKUP(D90,'Indicateurs - en cours'!$C$78:$J$104,8,FALSE),"")</f>
        <v>Suivi du taux d'atteinte des objectifs fixés dans la LTECV</v>
      </c>
      <c r="I90" s="88"/>
      <c r="K90" s="872">
        <v>30</v>
      </c>
      <c r="L90" s="426">
        <f>INDEX('Note finale'!$B$5:$AA$26,MATCH($A$77,'Note finale'!$B$5:$B$26,0),MATCH('Axe 2'!$E$90,'Note finale'!$B$4:$AA$4,0))</f>
        <v>1.8450184501845018E-3</v>
      </c>
      <c r="M90" s="674"/>
      <c r="N90" s="776">
        <f t="shared" si="3"/>
        <v>0</v>
      </c>
      <c r="O90" s="606"/>
      <c r="P90" s="786"/>
      <c r="R90" s="800"/>
      <c r="S90" s="776">
        <f t="shared" si="4"/>
        <v>0</v>
      </c>
      <c r="T90" s="606"/>
      <c r="U90" s="786"/>
      <c r="W90" s="800"/>
      <c r="X90" s="776">
        <f t="shared" si="5"/>
        <v>0</v>
      </c>
      <c r="Y90" s="606"/>
      <c r="Z90" s="786"/>
    </row>
    <row r="91" spans="1:26" ht="25.5" x14ac:dyDescent="0.2">
      <c r="A91" s="843"/>
      <c r="B91" s="840"/>
      <c r="C91" s="836"/>
      <c r="D91" s="401">
        <v>66</v>
      </c>
      <c r="E91" s="870"/>
      <c r="F91" s="149" t="s">
        <v>68</v>
      </c>
      <c r="G91" s="89" t="s">
        <v>136</v>
      </c>
      <c r="H91" s="87" t="str">
        <f>IF(VLOOKUP(D91,'Indicateurs - en cours'!$C$78:$J$104,8,FALSE)&lt;&gt;0,VLOOKUP(D91,'Indicateurs - en cours'!$C$78:$J$104,8,FALSE),"")</f>
        <v>Suivi du taux de Troubles Musculo-Squelettiques chez les ripeurs</v>
      </c>
      <c r="I91" s="88"/>
      <c r="K91" s="872"/>
      <c r="L91" s="426">
        <f>INDEX('Note finale'!$B$5:$AA$26,MATCH($A$77,'Note finale'!$B$5:$B$26,0),MATCH('Axe 2'!$E$90,'Note finale'!$B$4:$AA$4,0))</f>
        <v>1.8450184501845018E-3</v>
      </c>
      <c r="M91" s="674"/>
      <c r="N91" s="776">
        <f t="shared" si="3"/>
        <v>0</v>
      </c>
      <c r="O91" s="606"/>
      <c r="P91" s="786"/>
      <c r="R91" s="800"/>
      <c r="S91" s="776">
        <f t="shared" si="4"/>
        <v>0</v>
      </c>
      <c r="T91" s="606"/>
      <c r="U91" s="786"/>
      <c r="W91" s="800"/>
      <c r="X91" s="776">
        <f t="shared" si="5"/>
        <v>0</v>
      </c>
      <c r="Y91" s="606"/>
      <c r="Z91" s="786"/>
    </row>
    <row r="92" spans="1:26" ht="117.75" customHeight="1" x14ac:dyDescent="0.2">
      <c r="A92" s="843"/>
      <c r="B92" s="840"/>
      <c r="C92" s="836"/>
      <c r="D92" s="401">
        <v>67</v>
      </c>
      <c r="E92" s="870"/>
      <c r="F92" s="149" t="s">
        <v>68</v>
      </c>
      <c r="G92" s="89" t="s">
        <v>137</v>
      </c>
      <c r="H92" s="87" t="str">
        <f>IF(VLOOKUP(D92,'Indicateurs - en cours'!$C$78:$J$104,8,FALSE)&lt;&gt;0,VLOOKUP(D92,'Indicateurs - en cours'!$C$78:$J$104,8,FALSE),"")</f>
        <v xml:space="preserve">Suivi du taux  de pathologies susceptibles d’être en lien avec le fonctionnement des installations </v>
      </c>
      <c r="I92" s="589" t="s">
        <v>927</v>
      </c>
      <c r="K92" s="872"/>
      <c r="L92" s="426">
        <f>INDEX('Note finale'!$B$5:$AA$26,MATCH($A$77,'Note finale'!$B$5:$B$26,0),MATCH('Axe 2'!$E$90,'Note finale'!$B$4:$AA$4,0))</f>
        <v>1.8450184501845018E-3</v>
      </c>
      <c r="M92" s="674"/>
      <c r="N92" s="776">
        <f t="shared" si="3"/>
        <v>0</v>
      </c>
      <c r="O92" s="606"/>
      <c r="P92" s="786"/>
      <c r="R92" s="800"/>
      <c r="S92" s="776">
        <f t="shared" si="4"/>
        <v>0</v>
      </c>
      <c r="T92" s="606"/>
      <c r="U92" s="786"/>
      <c r="W92" s="800"/>
      <c r="X92" s="776">
        <f t="shared" si="5"/>
        <v>0</v>
      </c>
      <c r="Y92" s="606"/>
      <c r="Z92" s="786"/>
    </row>
    <row r="93" spans="1:26" ht="25.5" x14ac:dyDescent="0.2">
      <c r="A93" s="843"/>
      <c r="B93" s="840"/>
      <c r="C93" s="836"/>
      <c r="D93" s="401">
        <v>68</v>
      </c>
      <c r="E93" s="870"/>
      <c r="F93" s="149" t="s">
        <v>68</v>
      </c>
      <c r="G93" s="89" t="s">
        <v>138</v>
      </c>
      <c r="H93" s="87" t="str">
        <f>IF(VLOOKUP(D93,'Indicateurs - en cours'!$C$78:$J$104,8,FALSE)&lt;&gt;0,VLOOKUP(D93,'Indicateurs - en cours'!$C$78:$J$104,8,FALSE),"")</f>
        <v>Suivi des taux d'accidents de la collecte et du traitement des déchets</v>
      </c>
      <c r="I93" s="88"/>
      <c r="K93" s="872"/>
      <c r="L93" s="426">
        <f>INDEX('Note finale'!$B$5:$AA$26,MATCH($A$77,'Note finale'!$B$5:$B$26,0),MATCH('Axe 2'!$E$90,'Note finale'!$B$4:$AA$4,0))</f>
        <v>1.8450184501845018E-3</v>
      </c>
      <c r="M93" s="674"/>
      <c r="N93" s="776">
        <f t="shared" si="3"/>
        <v>0</v>
      </c>
      <c r="O93" s="606"/>
      <c r="P93" s="786"/>
      <c r="R93" s="800"/>
      <c r="S93" s="776">
        <f t="shared" si="4"/>
        <v>0</v>
      </c>
      <c r="T93" s="606"/>
      <c r="U93" s="786"/>
      <c r="W93" s="800"/>
      <c r="X93" s="776">
        <f t="shared" si="5"/>
        <v>0</v>
      </c>
      <c r="Y93" s="606"/>
      <c r="Z93" s="786"/>
    </row>
    <row r="94" spans="1:26" ht="32.25" customHeight="1" x14ac:dyDescent="0.2">
      <c r="A94" s="843"/>
      <c r="B94" s="840"/>
      <c r="C94" s="836"/>
      <c r="D94" s="401">
        <v>69</v>
      </c>
      <c r="E94" s="870"/>
      <c r="F94" s="149" t="s">
        <v>68</v>
      </c>
      <c r="G94" s="89" t="s">
        <v>139</v>
      </c>
      <c r="H94" s="87" t="str">
        <f>IF(VLOOKUP(D94,'Indicateurs - en cours'!$C$78:$J$104,8,FALSE)&lt;&gt;0,VLOOKUP(D94,'Indicateurs - en cours'!$C$78:$J$104,8,FALSE),"")</f>
        <v>Des études environnementales sont réalisées (contamination potentielle de l'environnement)</v>
      </c>
      <c r="I94" s="88"/>
      <c r="K94" s="872"/>
      <c r="L94" s="426">
        <f>INDEX('Note finale'!$B$5:$AA$26,MATCH($A$77,'Note finale'!$B$5:$B$26,0),MATCH('Axe 2'!$E$90,'Note finale'!$B$4:$AA$4,0))</f>
        <v>1.8450184501845018E-3</v>
      </c>
      <c r="M94" s="674"/>
      <c r="N94" s="776">
        <f t="shared" si="3"/>
        <v>0</v>
      </c>
      <c r="O94" s="606"/>
      <c r="P94" s="786"/>
      <c r="R94" s="800"/>
      <c r="S94" s="776">
        <f t="shared" si="4"/>
        <v>0</v>
      </c>
      <c r="T94" s="606"/>
      <c r="U94" s="786"/>
      <c r="W94" s="800"/>
      <c r="X94" s="776">
        <f t="shared" si="5"/>
        <v>0</v>
      </c>
      <c r="Y94" s="606"/>
      <c r="Z94" s="786"/>
    </row>
    <row r="95" spans="1:26" ht="40.5" customHeight="1" x14ac:dyDescent="0.2">
      <c r="A95" s="843"/>
      <c r="B95" s="840"/>
      <c r="C95" s="836"/>
      <c r="D95" s="401">
        <v>70</v>
      </c>
      <c r="E95" s="871"/>
      <c r="F95" s="150" t="s">
        <v>68</v>
      </c>
      <c r="G95" s="90" t="s">
        <v>624</v>
      </c>
      <c r="H95" s="91" t="str">
        <f>IF(VLOOKUP(D95,'Indicateurs - en cours'!$C$78:$J$104,8,FALSE)&lt;&gt;0,VLOOKUP(D95,'Indicateurs - en cours'!$C$78:$J$104,8,FALSE),"")</f>
        <v>Une étude de comparaison des modalités de traitement des déchets (par le biais d'une ACV par exemple) a été réalisée</v>
      </c>
      <c r="I95" s="92"/>
      <c r="K95" s="874"/>
      <c r="L95" s="427">
        <f>INDEX('Note finale'!$B$5:$AA$26,MATCH($A$77,'Note finale'!$B$5:$B$26,0),MATCH('Axe 2'!$E$90,'Note finale'!$B$4:$AA$4,0))</f>
        <v>1.8450184501845018E-3</v>
      </c>
      <c r="M95" s="633"/>
      <c r="N95" s="777">
        <f t="shared" si="3"/>
        <v>0</v>
      </c>
      <c r="O95" s="632"/>
      <c r="P95" s="787"/>
      <c r="R95" s="802"/>
      <c r="S95" s="803">
        <f t="shared" si="4"/>
        <v>0</v>
      </c>
      <c r="T95" s="804"/>
      <c r="U95" s="805"/>
      <c r="W95" s="629"/>
      <c r="X95" s="777">
        <f t="shared" si="5"/>
        <v>0</v>
      </c>
      <c r="Y95" s="632"/>
      <c r="Z95" s="787"/>
    </row>
    <row r="96" spans="1:26" s="597" customFormat="1" ht="7.5" customHeight="1" x14ac:dyDescent="0.25">
      <c r="B96" s="649"/>
      <c r="D96" s="650"/>
      <c r="E96" s="654"/>
      <c r="F96" s="655"/>
      <c r="G96" s="656"/>
      <c r="H96" s="652"/>
      <c r="I96" s="652"/>
      <c r="K96" s="653"/>
      <c r="L96" s="596"/>
      <c r="M96" s="788"/>
      <c r="N96" s="789"/>
      <c r="O96" s="790"/>
      <c r="P96" s="790"/>
      <c r="R96" s="806"/>
      <c r="S96" s="807"/>
      <c r="T96" s="808"/>
      <c r="U96" s="808"/>
      <c r="W96" s="788"/>
      <c r="X96" s="789"/>
      <c r="Y96" s="790"/>
      <c r="Z96" s="790"/>
    </row>
    <row r="97" spans="1:26" ht="12.75" customHeight="1" x14ac:dyDescent="0.2">
      <c r="A97" s="843" t="s">
        <v>140</v>
      </c>
      <c r="B97" s="840" t="s">
        <v>141</v>
      </c>
      <c r="C97" s="836" t="s">
        <v>142</v>
      </c>
      <c r="D97" s="401">
        <v>71</v>
      </c>
      <c r="E97" s="875" t="s">
        <v>67</v>
      </c>
      <c r="F97" s="463" t="s">
        <v>68</v>
      </c>
      <c r="G97" s="70" t="s">
        <v>143</v>
      </c>
      <c r="H97" s="70" t="str">
        <f>IF(VLOOKUP(D97,'Indicateurs - en cours'!$C$78:$J$104,8,FALSE)&lt;&gt;0,VLOOKUP(D97,'Indicateurs - en cours'!$C$78:$J$104,8,FALSE),"")</f>
        <v/>
      </c>
      <c r="I97" s="85"/>
      <c r="K97" s="866">
        <v>20</v>
      </c>
      <c r="L97" s="421">
        <f>INDEX('Note finale'!$B$5:$AA$26,MATCH($A$97,'Note finale'!$B$5:$B$26,0),MATCH('Axe 2'!$E$97,'Note finale'!$B$4:$AA$4,0))</f>
        <v>2.4600246002460025E-3</v>
      </c>
      <c r="M97" s="793"/>
      <c r="N97" s="779">
        <f t="shared" si="3"/>
        <v>0</v>
      </c>
      <c r="O97" s="691"/>
      <c r="P97" s="794"/>
      <c r="R97" s="809"/>
      <c r="S97" s="779">
        <f t="shared" si="4"/>
        <v>0</v>
      </c>
      <c r="T97" s="691"/>
      <c r="U97" s="794"/>
      <c r="W97" s="809"/>
      <c r="X97" s="779">
        <f t="shared" si="5"/>
        <v>0</v>
      </c>
      <c r="Y97" s="691"/>
      <c r="Z97" s="794"/>
    </row>
    <row r="98" spans="1:26" ht="12.75" customHeight="1" x14ac:dyDescent="0.2">
      <c r="A98" s="843"/>
      <c r="B98" s="840"/>
      <c r="C98" s="836"/>
      <c r="D98" s="401">
        <v>72</v>
      </c>
      <c r="E98" s="870"/>
      <c r="F98" s="149" t="s">
        <v>68</v>
      </c>
      <c r="G98" s="86" t="s">
        <v>144</v>
      </c>
      <c r="H98" s="86" t="str">
        <f>IF(VLOOKUP(D98,'Indicateurs - en cours'!$C$78:$J$104,8,FALSE)&lt;&gt;0,VLOOKUP(D98,'Indicateurs - en cours'!$C$78:$J$104,8,FALSE),"")</f>
        <v>Une étude sur la mise en place de la RS a été réalisée</v>
      </c>
      <c r="I98" s="88"/>
      <c r="K98" s="867"/>
      <c r="L98" s="422">
        <f>INDEX('Note finale'!$B$5:$AA$26,MATCH($A$97,'Note finale'!$B$5:$B$26,0),MATCH('Axe 2'!$E$97,'Note finale'!$B$4:$AA$4,0))</f>
        <v>2.4600246002460025E-3</v>
      </c>
      <c r="M98" s="795"/>
      <c r="N98" s="780">
        <f t="shared" si="3"/>
        <v>0</v>
      </c>
      <c r="O98" s="563"/>
      <c r="P98" s="796"/>
      <c r="R98" s="686"/>
      <c r="S98" s="780">
        <f t="shared" si="4"/>
        <v>0</v>
      </c>
      <c r="T98" s="563"/>
      <c r="U98" s="796"/>
      <c r="W98" s="686"/>
      <c r="X98" s="780">
        <f t="shared" si="5"/>
        <v>0</v>
      </c>
      <c r="Y98" s="563"/>
      <c r="Z98" s="796"/>
    </row>
    <row r="99" spans="1:26" ht="38.25" x14ac:dyDescent="0.2">
      <c r="A99" s="843"/>
      <c r="B99" s="840"/>
      <c r="C99" s="836"/>
      <c r="D99" s="401">
        <v>73</v>
      </c>
      <c r="E99" s="876"/>
      <c r="F99" s="149" t="s">
        <v>68</v>
      </c>
      <c r="G99" s="86" t="s">
        <v>596</v>
      </c>
      <c r="H99" s="86" t="str">
        <f>IF(VLOOKUP(D99,'Indicateurs - en cours'!$C$78:$J$104,8,FALSE)&lt;&gt;0,VLOOKUP(D99,'Indicateurs - en cours'!$C$78:$J$104,8,FALSE),"")</f>
        <v/>
      </c>
      <c r="I99" s="88" t="s">
        <v>595</v>
      </c>
      <c r="K99" s="867"/>
      <c r="L99" s="422">
        <f>INDEX('Note finale'!$B$5:$AA$26,MATCH($A$97,'Note finale'!$B$5:$B$26,0),MATCH('Axe 2'!$E$97,'Note finale'!$B$4:$AA$4,0))</f>
        <v>2.4600246002460025E-3</v>
      </c>
      <c r="M99" s="795"/>
      <c r="N99" s="780">
        <f t="shared" si="3"/>
        <v>0</v>
      </c>
      <c r="O99" s="563"/>
      <c r="P99" s="796"/>
      <c r="R99" s="686"/>
      <c r="S99" s="780">
        <f t="shared" si="4"/>
        <v>0</v>
      </c>
      <c r="T99" s="563"/>
      <c r="U99" s="796"/>
      <c r="W99" s="686"/>
      <c r="X99" s="780">
        <f t="shared" si="5"/>
        <v>0</v>
      </c>
      <c r="Y99" s="563"/>
      <c r="Z99" s="796"/>
    </row>
    <row r="100" spans="1:26" ht="38.25" x14ac:dyDescent="0.2">
      <c r="A100" s="843"/>
      <c r="B100" s="840"/>
      <c r="C100" s="836"/>
      <c r="D100" s="401">
        <v>74</v>
      </c>
      <c r="E100" s="869" t="s">
        <v>73</v>
      </c>
      <c r="F100" s="149" t="s">
        <v>68</v>
      </c>
      <c r="G100" s="86" t="s">
        <v>634</v>
      </c>
      <c r="H100" s="87" t="str">
        <f>IF(VLOOKUP(D100,'Indicateurs - en cours'!$C$78:$J$104,8,FALSE)&lt;&gt;0,VLOOKUP(D100,'Indicateurs - en cours'!$C$78:$J$104,8,FALSE),"")</f>
        <v/>
      </c>
      <c r="I100" s="88"/>
      <c r="K100" s="867">
        <v>80</v>
      </c>
      <c r="L100" s="422">
        <f>INDEX('Note finale'!$B$5:$AA$26,MATCH($A$97,'Note finale'!$B$5:$B$26,0),MATCH('Axe 2'!$E$100,'Note finale'!$B$4:$AA$4,0))</f>
        <v>5.9040590405904066E-3</v>
      </c>
      <c r="M100" s="795"/>
      <c r="N100" s="780">
        <f t="shared" si="3"/>
        <v>0</v>
      </c>
      <c r="O100" s="563"/>
      <c r="P100" s="796"/>
      <c r="R100" s="686"/>
      <c r="S100" s="780">
        <f t="shared" si="4"/>
        <v>0</v>
      </c>
      <c r="T100" s="563"/>
      <c r="U100" s="796"/>
      <c r="W100" s="686"/>
      <c r="X100" s="780">
        <f t="shared" si="5"/>
        <v>0</v>
      </c>
      <c r="Y100" s="563"/>
      <c r="Z100" s="796"/>
    </row>
    <row r="101" spans="1:26" ht="38.25" x14ac:dyDescent="0.2">
      <c r="A101" s="843"/>
      <c r="B101" s="840"/>
      <c r="C101" s="836"/>
      <c r="D101" s="401">
        <v>75</v>
      </c>
      <c r="E101" s="870"/>
      <c r="F101" s="149" t="s">
        <v>68</v>
      </c>
      <c r="G101" s="86" t="s">
        <v>145</v>
      </c>
      <c r="H101" s="464" t="str">
        <f>IF(VLOOKUP(D101,'Indicateurs - en cours'!$C$78:$J$104,8,FALSE)&lt;&gt;0,VLOOKUP(D101,'Indicateurs - en cours'!$C$78:$J$104,8,FALSE),"")</f>
        <v>Nombre d'entreprises acquittant la RS ou bénéficiant d'un service de collecte de la collectivité</v>
      </c>
      <c r="I101" s="88"/>
      <c r="K101" s="867"/>
      <c r="L101" s="422">
        <f>INDEX('Note finale'!$B$5:$AA$26,MATCH($A$97,'Note finale'!$B$5:$B$26,0),MATCH('Axe 2'!$E$100,'Note finale'!$B$4:$AA$4,0))</f>
        <v>5.9040590405904066E-3</v>
      </c>
      <c r="M101" s="795"/>
      <c r="N101" s="780">
        <f t="shared" si="3"/>
        <v>0</v>
      </c>
      <c r="O101" s="563"/>
      <c r="P101" s="796"/>
      <c r="R101" s="686"/>
      <c r="S101" s="780">
        <f t="shared" si="4"/>
        <v>0</v>
      </c>
      <c r="T101" s="563"/>
      <c r="U101" s="796"/>
      <c r="W101" s="686"/>
      <c r="X101" s="780">
        <f t="shared" si="5"/>
        <v>0</v>
      </c>
      <c r="Y101" s="563"/>
      <c r="Z101" s="796"/>
    </row>
    <row r="102" spans="1:26" ht="51" x14ac:dyDescent="0.2">
      <c r="A102" s="843"/>
      <c r="B102" s="840"/>
      <c r="C102" s="836"/>
      <c r="D102" s="401">
        <v>76</v>
      </c>
      <c r="E102" s="870"/>
      <c r="F102" s="149" t="s">
        <v>146</v>
      </c>
      <c r="G102" s="86" t="s">
        <v>147</v>
      </c>
      <c r="H102" s="87" t="str">
        <f>IF(VLOOKUP(D102,'Indicateurs - en cours'!$C$78:$J$104,8,FALSE)&lt;&gt;0,VLOOKUP(D102,'Indicateurs - en cours'!$C$78:$J$104,8,FALSE),"")</f>
        <v/>
      </c>
      <c r="I102" s="88"/>
      <c r="K102" s="867"/>
      <c r="L102" s="422">
        <f>IF(Préambule!E45="Non",0,INDEX('Note finale'!$B$5:$AA$26,MATCH($A$97,'Note finale'!$B$5:$B$26,0),MATCH('Axe 2'!$E$100,'Note finale'!$B$4:$AA$4,0)))</f>
        <v>5.9040590405904066E-3</v>
      </c>
      <c r="M102" s="795"/>
      <c r="N102" s="780">
        <f t="shared" si="3"/>
        <v>0</v>
      </c>
      <c r="O102" s="563"/>
      <c r="P102" s="796"/>
      <c r="R102" s="686"/>
      <c r="S102" s="780">
        <f t="shared" si="4"/>
        <v>0</v>
      </c>
      <c r="T102" s="563"/>
      <c r="U102" s="796"/>
      <c r="W102" s="686"/>
      <c r="X102" s="780">
        <f t="shared" si="5"/>
        <v>0</v>
      </c>
      <c r="Y102" s="563"/>
      <c r="Z102" s="796"/>
    </row>
    <row r="103" spans="1:26" ht="96" customHeight="1" x14ac:dyDescent="0.2">
      <c r="A103" s="843"/>
      <c r="B103" s="840"/>
      <c r="C103" s="836"/>
      <c r="D103" s="401">
        <v>77</v>
      </c>
      <c r="E103" s="870"/>
      <c r="F103" s="149" t="s">
        <v>68</v>
      </c>
      <c r="G103" s="465" t="s">
        <v>529</v>
      </c>
      <c r="H103" s="464" t="str">
        <f>IF(VLOOKUP(D103,'Indicateurs - en cours'!$C$78:$J$104,8,FALSE)&lt;&gt;0,VLOOKUP(D103,'Indicateurs - en cours'!$C$78:$J$104,8,FALSE),"")</f>
        <v>Nombre d'entreprises utilisant les matériaux proposés par la collectivité.</v>
      </c>
      <c r="I103" s="466" t="s">
        <v>530</v>
      </c>
      <c r="K103" s="867"/>
      <c r="L103" s="422">
        <f>INDEX('Note finale'!$B$5:$AA$26,MATCH($A$97,'Note finale'!$B$5:$B$26,0),MATCH('Axe 2'!$E$100,'Note finale'!$B$4:$AA$4,0))</f>
        <v>5.9040590405904066E-3</v>
      </c>
      <c r="M103" s="795"/>
      <c r="N103" s="780">
        <f t="shared" si="3"/>
        <v>0</v>
      </c>
      <c r="O103" s="563"/>
      <c r="P103" s="796"/>
      <c r="R103" s="686"/>
      <c r="S103" s="780">
        <f t="shared" si="4"/>
        <v>0</v>
      </c>
      <c r="T103" s="563"/>
      <c r="U103" s="796"/>
      <c r="W103" s="686"/>
      <c r="X103" s="780">
        <f t="shared" si="5"/>
        <v>0</v>
      </c>
      <c r="Y103" s="563"/>
      <c r="Z103" s="796"/>
    </row>
    <row r="104" spans="1:26" ht="393.75" customHeight="1" x14ac:dyDescent="0.2">
      <c r="A104" s="843"/>
      <c r="B104" s="840"/>
      <c r="C104" s="836"/>
      <c r="D104" s="401">
        <v>78</v>
      </c>
      <c r="E104" s="871"/>
      <c r="F104" s="150" t="s">
        <v>146</v>
      </c>
      <c r="G104" s="467" t="s">
        <v>598</v>
      </c>
      <c r="H104" s="468" t="str">
        <f>IF(VLOOKUP(D104,'Indicateurs - en cours'!$C$78:$J$104,8,FALSE)&lt;&gt;0,VLOOKUP(D104,'Indicateurs - en cours'!$C$78:$J$104,8,FALSE),"")</f>
        <v>Nombre d'actions / typologie / an planifiées et déployées</v>
      </c>
      <c r="I104" s="469" t="s">
        <v>597</v>
      </c>
      <c r="K104" s="868"/>
      <c r="L104" s="423">
        <f>IF(Préambule!E45="Non",0,INDEX('Note finale'!$B$5:$AA$26,MATCH($A$97,'Note finale'!$B$5:$B$26,0),MATCH('Axe 2'!$E$100,'Note finale'!$B$4:$AA$4,0)))</f>
        <v>5.9040590405904066E-3</v>
      </c>
      <c r="M104" s="797"/>
      <c r="N104" s="785">
        <f t="shared" si="3"/>
        <v>0</v>
      </c>
      <c r="O104" s="798"/>
      <c r="P104" s="799"/>
      <c r="R104" s="810"/>
      <c r="S104" s="785">
        <f t="shared" si="4"/>
        <v>0</v>
      </c>
      <c r="T104" s="798"/>
      <c r="U104" s="799"/>
      <c r="W104" s="810"/>
      <c r="X104" s="785">
        <f t="shared" si="5"/>
        <v>0</v>
      </c>
      <c r="Y104" s="798"/>
      <c r="Z104" s="799"/>
    </row>
  </sheetData>
  <sheetProtection algorithmName="SHA-512" hashValue="LC6mIoacPeb5HUmXOXJxvDPRlZjtr5rEyHVD4BQj57ORgOMoEhwRv3BoEzrb7ds9mYy3nmmp5XWoBUGo/VwfEw==" saltValue="H9jTK38tlqb10TBAUSXiBw==" spinCount="100000" sheet="1" selectLockedCells="1"/>
  <mergeCells count="51">
    <mergeCell ref="A97:A104"/>
    <mergeCell ref="B97:B104"/>
    <mergeCell ref="C97:C104"/>
    <mergeCell ref="A77:A95"/>
    <mergeCell ref="B27:B55"/>
    <mergeCell ref="C27:C55"/>
    <mergeCell ref="B77:B95"/>
    <mergeCell ref="C77:C95"/>
    <mergeCell ref="A27:A75"/>
    <mergeCell ref="A13:A25"/>
    <mergeCell ref="B13:B25"/>
    <mergeCell ref="C13:C25"/>
    <mergeCell ref="B6:B11"/>
    <mergeCell ref="C6:C11"/>
    <mergeCell ref="A1:O1"/>
    <mergeCell ref="K8:K9"/>
    <mergeCell ref="K6:K7"/>
    <mergeCell ref="K10:K11"/>
    <mergeCell ref="E3:I3"/>
    <mergeCell ref="B3:B4"/>
    <mergeCell ref="C3:C4"/>
    <mergeCell ref="A6:A11"/>
    <mergeCell ref="E6:E7"/>
    <mergeCell ref="E10:E11"/>
    <mergeCell ref="E8:E9"/>
    <mergeCell ref="K97:K99"/>
    <mergeCell ref="K100:K104"/>
    <mergeCell ref="E90:E95"/>
    <mergeCell ref="K80:K89"/>
    <mergeCell ref="E77:E79"/>
    <mergeCell ref="K77:K79"/>
    <mergeCell ref="K90:K95"/>
    <mergeCell ref="E100:E104"/>
    <mergeCell ref="E97:E99"/>
    <mergeCell ref="E80:E89"/>
    <mergeCell ref="E31:E75"/>
    <mergeCell ref="G67:I67"/>
    <mergeCell ref="K31:K75"/>
    <mergeCell ref="G31:I31"/>
    <mergeCell ref="G40:I40"/>
    <mergeCell ref="G49:I49"/>
    <mergeCell ref="E22:E25"/>
    <mergeCell ref="E13:E21"/>
    <mergeCell ref="K13:K21"/>
    <mergeCell ref="E27:E30"/>
    <mergeCell ref="K27:K30"/>
    <mergeCell ref="R3:U3"/>
    <mergeCell ref="W3:Z3"/>
    <mergeCell ref="M3:P3"/>
    <mergeCell ref="G58:I58"/>
    <mergeCell ref="K22:K25"/>
  </mergeCells>
  <conditionalFormatting sqref="G27:G30 G68:I75 G32:G66 H59:I66 H41:I48 H32:I39 H50:I57">
    <cfRule type="expression" dxfId="27" priority="41">
      <formula>$G27=0</formula>
    </cfRule>
  </conditionalFormatting>
  <conditionalFormatting sqref="G31">
    <cfRule type="expression" dxfId="26" priority="38">
      <formula>$G31=0</formula>
    </cfRule>
  </conditionalFormatting>
  <conditionalFormatting sqref="G67">
    <cfRule type="expression" dxfId="25" priority="37">
      <formula>$G67=0</formula>
    </cfRule>
  </conditionalFormatting>
  <conditionalFormatting sqref="L6:L11 L13:L25 L27:L75 L77:L95 L97:L104">
    <cfRule type="cellIs" dxfId="24" priority="31" operator="notEqual">
      <formula>0.01</formula>
    </cfRule>
  </conditionalFormatting>
  <hyperlinks>
    <hyperlink ref="I92" r:id="rId1"/>
  </hyperlinks>
  <pageMargins left="0.23622047244094491" right="0.23622047244094491" top="0.74803149606299213" bottom="0.74803149606299213" header="0.31496062992125984" footer="0.31496062992125984"/>
  <pageSetup paperSize="8" scale="69" fitToHeight="0" orientation="landscape" r:id="rId2"/>
  <legacyDrawing r:id="rId3"/>
  <extLst>
    <ext xmlns:x14="http://schemas.microsoft.com/office/spreadsheetml/2009/9/main" uri="{78C0D931-6437-407d-A8EE-F0AAD7539E65}">
      <x14:conditionalFormattings>
        <x14:conditionalFormatting xmlns:xm="http://schemas.microsoft.com/office/excel/2006/main">
          <x14:cfRule type="expression" priority="36" id="{4ABD23C3-45D0-4D9B-B293-0A59DC9A01A8}">
            <xm:f>ISBLANK(Préambule!$E$55)</xm:f>
            <x14:dxf>
              <font>
                <color theme="0"/>
              </font>
            </x14:dxf>
          </x14:cfRule>
          <xm:sqref>H68:I75</xm:sqref>
        </x14:conditionalFormatting>
        <x14:conditionalFormatting xmlns:xm="http://schemas.microsoft.com/office/excel/2006/main">
          <x14:cfRule type="expression" priority="35" id="{90AB43A3-597D-4013-98C4-3B51827F5622}">
            <xm:f>ISBLANK(Préambule!$E$54)</xm:f>
            <x14:dxf>
              <font>
                <color theme="0"/>
              </font>
            </x14:dxf>
          </x14:cfRule>
          <xm:sqref>H59:I66</xm:sqref>
        </x14:conditionalFormatting>
        <x14:conditionalFormatting xmlns:xm="http://schemas.microsoft.com/office/excel/2006/main">
          <x14:cfRule type="expression" priority="34" id="{C7320ED5-38E7-48F3-AA06-077FF5A1AFAD}">
            <xm:f>ISBLANK(Préambule!$E$53)</xm:f>
            <x14:dxf>
              <font>
                <color theme="0"/>
              </font>
            </x14:dxf>
          </x14:cfRule>
          <xm:sqref>H50:I57</xm:sqref>
        </x14:conditionalFormatting>
        <x14:conditionalFormatting xmlns:xm="http://schemas.microsoft.com/office/excel/2006/main">
          <x14:cfRule type="expression" priority="33" id="{7FE11063-081C-488F-B1C2-AF0563278AD5}">
            <xm:f>ISBLANK(Préambule!$E$52)</xm:f>
            <x14:dxf>
              <font>
                <color theme="0"/>
              </font>
            </x14:dxf>
          </x14:cfRule>
          <xm:sqref>H41:I48</xm:sqref>
        </x14:conditionalFormatting>
        <x14:conditionalFormatting xmlns:xm="http://schemas.microsoft.com/office/excel/2006/main">
          <x14:cfRule type="expression" priority="32" id="{3A932CFC-45DB-4DFF-A54B-5F8417C1CEC9}">
            <xm:f>ISBLANK(Préambule!$E$51)</xm:f>
            <x14:dxf>
              <font>
                <color theme="0"/>
              </font>
            </x14:dxf>
          </x14:cfRule>
          <xm:sqref>H32:I39</xm:sqref>
        </x14:conditionalFormatting>
        <x14:conditionalFormatting xmlns:xm="http://schemas.microsoft.com/office/excel/2006/main">
          <x14:cfRule type="expression" priority="2" id="{3EEC4519-131D-4CDA-9FB1-A9F17A52F2F8}">
            <xm:f>Préambule!$E$45="Non"</xm:f>
            <x14:dxf>
              <fill>
                <patternFill patternType="lightUp">
                  <fgColor theme="0" tint="-0.499984740745262"/>
                </patternFill>
              </fill>
            </x14:dxf>
          </x14:cfRule>
          <xm:sqref>F102:Z102</xm:sqref>
        </x14:conditionalFormatting>
        <x14:conditionalFormatting xmlns:xm="http://schemas.microsoft.com/office/excel/2006/main">
          <x14:cfRule type="expression" priority="1" id="{90B674CF-70A0-4466-AEAB-642FB7EB525A}">
            <xm:f>Préambule!$E$45="Non"</xm:f>
            <x14:dxf>
              <fill>
                <patternFill patternType="lightUp">
                  <fgColor theme="0" tint="-0.499984740745262"/>
                </patternFill>
              </fill>
            </x14:dxf>
          </x14:cfRule>
          <xm:sqref>F104:Z104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5"/>
  <sheetViews>
    <sheetView workbookViewId="0"/>
  </sheetViews>
  <sheetFormatPr baseColWidth="10" defaultColWidth="11.42578125" defaultRowHeight="15" x14ac:dyDescent="0.25"/>
  <cols>
    <col min="1" max="1" width="3.140625" bestFit="1" customWidth="1"/>
    <col min="2" max="3" width="41.42578125" customWidth="1"/>
    <col min="4" max="4" width="14" bestFit="1" customWidth="1"/>
    <col min="5" max="5" width="3.140625" bestFit="1" customWidth="1"/>
    <col min="6" max="6" width="50.140625" customWidth="1"/>
    <col min="7" max="7" width="51.140625" customWidth="1"/>
    <col min="8" max="8" width="14" bestFit="1" customWidth="1"/>
    <col min="9" max="9" width="3.140625" bestFit="1" customWidth="1"/>
    <col min="10" max="10" width="51.140625" customWidth="1"/>
    <col min="11" max="11" width="57.85546875" customWidth="1"/>
    <col min="12" max="12" width="14" bestFit="1" customWidth="1"/>
    <col min="13" max="13" width="3.140625" bestFit="1" customWidth="1"/>
    <col min="14" max="14" width="49" customWidth="1"/>
    <col min="15" max="15" width="46.140625" bestFit="1" customWidth="1"/>
    <col min="16" max="16" width="14" bestFit="1" customWidth="1"/>
    <col min="17" max="17" width="3.140625" bestFit="1" customWidth="1"/>
    <col min="18" max="18" width="37.42578125" customWidth="1"/>
    <col min="19" max="19" width="34.28515625" customWidth="1"/>
    <col min="20" max="20" width="14" bestFit="1" customWidth="1"/>
  </cols>
  <sheetData>
    <row r="1" spans="1:20" ht="18.75" x14ac:dyDescent="0.25">
      <c r="B1" s="880" t="s">
        <v>148</v>
      </c>
      <c r="C1" s="880"/>
      <c r="D1" s="880"/>
      <c r="E1" s="880"/>
      <c r="F1" s="880"/>
      <c r="G1" s="880"/>
      <c r="H1" s="880"/>
      <c r="I1" s="880"/>
      <c r="J1" s="880"/>
      <c r="K1" s="880"/>
      <c r="L1" s="880"/>
      <c r="M1" s="880"/>
      <c r="N1" s="880"/>
      <c r="O1" s="880"/>
      <c r="P1" s="880"/>
      <c r="Q1" s="880"/>
      <c r="R1" s="880"/>
      <c r="S1" s="880"/>
      <c r="T1" s="880"/>
    </row>
    <row r="4" spans="1:20" s="45" customFormat="1" x14ac:dyDescent="0.25">
      <c r="B4" s="879" t="s">
        <v>73</v>
      </c>
      <c r="C4" s="879"/>
      <c r="D4" s="879"/>
      <c r="E4" s="879"/>
      <c r="F4" s="879"/>
      <c r="G4" s="879"/>
      <c r="H4" s="879"/>
      <c r="I4" s="879"/>
      <c r="J4" s="879"/>
      <c r="K4" s="879"/>
      <c r="L4" s="879"/>
      <c r="M4" s="879"/>
      <c r="N4" s="879"/>
      <c r="O4" s="879"/>
      <c r="P4" s="879"/>
      <c r="Q4" s="879"/>
      <c r="R4" s="879"/>
    </row>
    <row r="5" spans="1:20" s="99" customFormat="1" x14ac:dyDescent="0.25">
      <c r="A5" s="99" t="s">
        <v>837</v>
      </c>
      <c r="B5" s="129" t="s">
        <v>619</v>
      </c>
      <c r="C5" s="130" t="s">
        <v>149</v>
      </c>
      <c r="D5" s="130" t="s">
        <v>894</v>
      </c>
      <c r="E5" s="130" t="s">
        <v>837</v>
      </c>
      <c r="F5" s="130" t="s">
        <v>44</v>
      </c>
      <c r="G5" s="125" t="s">
        <v>150</v>
      </c>
      <c r="H5" s="125" t="s">
        <v>894</v>
      </c>
      <c r="I5" s="130" t="s">
        <v>837</v>
      </c>
      <c r="J5" s="304" t="s">
        <v>45</v>
      </c>
      <c r="K5" s="125" t="s">
        <v>150</v>
      </c>
      <c r="L5" s="125" t="s">
        <v>894</v>
      </c>
      <c r="M5" s="130" t="s">
        <v>837</v>
      </c>
      <c r="N5" s="125" t="s">
        <v>46</v>
      </c>
      <c r="O5" s="125" t="s">
        <v>150</v>
      </c>
      <c r="P5" s="125" t="s">
        <v>894</v>
      </c>
      <c r="Q5" s="130" t="s">
        <v>837</v>
      </c>
      <c r="R5" s="238" t="s">
        <v>42</v>
      </c>
      <c r="S5" s="125" t="s">
        <v>150</v>
      </c>
      <c r="T5" s="99" t="s">
        <v>894</v>
      </c>
    </row>
    <row r="6" spans="1:20" ht="102" x14ac:dyDescent="0.25">
      <c r="A6">
        <v>24</v>
      </c>
      <c r="B6" s="126" t="s">
        <v>151</v>
      </c>
      <c r="C6" s="138" t="str">
        <f>IF(VLOOKUP(A6,'Indicateurs - en cours'!$C$50:$J$53,8,FALSE)&lt;&gt;0,VLOOKUP(A6,'Indicateurs - en cours'!$C$50:$J$53,8,FALSE),"")</f>
        <v>Quantité de biogaz produit et valorisé en injection ou en cogénération</v>
      </c>
      <c r="D6" s="438"/>
      <c r="E6" s="131">
        <v>28</v>
      </c>
      <c r="F6" s="82" t="s">
        <v>610</v>
      </c>
      <c r="G6" s="67" t="str">
        <f>IF(VLOOKUP(E6,'Indicateurs - en cours'!$C$54:$J$60,8,FALSE)&lt;&gt;0,VLOOKUP(E6,'Indicateurs - en cours'!$C$54:$J$60,8,FALSE),"")</f>
        <v>Quantités de déchets résiduels d'OMR et assimilés de la collectivité traités dans une UIOM sur le territoire</v>
      </c>
      <c r="H6" s="67"/>
      <c r="I6" s="67">
        <v>34</v>
      </c>
      <c r="J6" s="67" t="s">
        <v>152</v>
      </c>
      <c r="K6" s="67" t="str">
        <f>IF(VLOOKUP(I6,'Indicateurs - en cours'!$C$60:$J$77,8,FALSE)&lt;&gt;0,VLOOKUP(I6,'Indicateurs - en cours'!$C$60:$J$77,8,FALSE),"")</f>
        <v>L'installation de stockage dans laquelle sont traités les flux résiduels d'OMR répond aux dernières normes en vigueur.</v>
      </c>
      <c r="L6" s="67"/>
      <c r="M6" s="67">
        <v>40</v>
      </c>
      <c r="N6" s="67" t="s">
        <v>153</v>
      </c>
      <c r="O6" s="67" t="str">
        <f>IF(VLOOKUP(M6,'Indicateurs - en cours'!$C$60:$J$77,8,FALSE)&lt;&gt;0,VLOOKUP(M6,'Indicateurs - en cours'!$C$60:$J$77,8,FALSE),"")</f>
        <v/>
      </c>
      <c r="P6" s="67"/>
      <c r="Q6" s="67">
        <v>44</v>
      </c>
      <c r="R6" s="67" t="s">
        <v>154</v>
      </c>
      <c r="S6" s="67" t="str">
        <f>IF(VLOOKUP(Q6,'Indicateurs - en cours'!$C$60:$J$77,8,FALSE)&lt;&gt;0,VLOOKUP(Q6,'Indicateurs - en cours'!$C$60:$J$77,8,FALSE),"")</f>
        <v>Des indicateurs de suivi de la politique de compostage témoignant des performances de la collectivité (ex : nombre de composteurs individuels distribués, nb de sites collectifs en pied d'immeuble, taux de participation de la population à la collecte sélective des biodéchets, etc,)</v>
      </c>
    </row>
    <row r="7" spans="1:20" ht="51" x14ac:dyDescent="0.25">
      <c r="A7">
        <v>25</v>
      </c>
      <c r="B7" s="126" t="s">
        <v>620</v>
      </c>
      <c r="C7" s="138" t="str">
        <f>IF(VLOOKUP(A7,'Indicateurs - en cours'!$C$50:$J$53,8,FALSE)&lt;&gt;0,VLOOKUP(A7,'Indicateurs - en cours'!$C$50:$J$53,8,FALSE),"")</f>
        <v>Quantité de digestat produit</v>
      </c>
      <c r="D7" s="438"/>
      <c r="E7" s="131">
        <v>29</v>
      </c>
      <c r="F7" s="82" t="s">
        <v>636</v>
      </c>
      <c r="G7" s="67" t="str">
        <f>IF(VLOOKUP(E7,'Indicateurs - en cours'!$C$54:$J$60,8,FALSE)&lt;&gt;0,VLOOKUP(E7,'Indicateurs - en cours'!$C$54:$J$60,8,FALSE),"")</f>
        <v>Part des déchets entrants contenant des matériaux faisant l'objet de collecte séparée</v>
      </c>
      <c r="H7" s="67"/>
      <c r="I7" s="67">
        <v>35</v>
      </c>
      <c r="J7" s="67" t="s">
        <v>567</v>
      </c>
      <c r="K7" s="67" t="str">
        <f>IF(VLOOKUP(I7,'Indicateurs - en cours'!$C$60:$J$77,8,FALSE)&lt;&gt;0,VLOOKUP(I7,'Indicateurs - en cours'!$C$60:$J$77,8,FALSE),"")</f>
        <v>Quantité de biogaz produit et valorisé en injection ou en cogénération</v>
      </c>
      <c r="L7" s="67"/>
      <c r="M7" s="67">
        <v>41</v>
      </c>
      <c r="N7" s="67" t="s">
        <v>155</v>
      </c>
      <c r="O7" s="67" t="str">
        <f>IF(VLOOKUP(M7,'Indicateurs - en cours'!$C$60:$J$77,8,FALSE)&lt;&gt;0,VLOOKUP(M7,'Indicateurs - en cours'!$C$60:$J$77,8,FALSE),"")</f>
        <v>Part du poids entrant en centre de démantèlement qui est orienté vers des filières de réutilisation</v>
      </c>
      <c r="P7" s="67"/>
      <c r="Q7" s="67">
        <v>45</v>
      </c>
      <c r="R7" s="67" t="s">
        <v>156</v>
      </c>
      <c r="S7" s="67" t="str">
        <f>IF(VLOOKUP(Q7,'Indicateurs - en cours'!$C$60:$J$77,8,FALSE)&lt;&gt;0,VLOOKUP(Q7,'Indicateurs - en cours'!$C$60:$J$77,8,FALSE),"")</f>
        <v/>
      </c>
    </row>
    <row r="8" spans="1:20" ht="76.5" x14ac:dyDescent="0.25">
      <c r="A8">
        <v>26</v>
      </c>
      <c r="B8" s="127" t="s">
        <v>616</v>
      </c>
      <c r="C8" s="138" t="str">
        <f>IF(VLOOKUP(A8,'Indicateurs - en cours'!$C$50:$J$53,8,FALSE)&lt;&gt;0,VLOOKUP(A8,'Indicateurs - en cours'!$C$50:$J$53,8,FALSE),"")</f>
        <v>Quantité de refus valorisé en UTOM ou ISDND si pas d'UTOM</v>
      </c>
      <c r="D8" s="438"/>
      <c r="E8" s="131">
        <v>30</v>
      </c>
      <c r="F8" s="82" t="s">
        <v>157</v>
      </c>
      <c r="G8" s="67" t="str">
        <f>IF(VLOOKUP(E8,'Indicateurs - en cours'!$C$54:$J$60,8,FALSE)&lt;&gt;0,VLOOKUP(E8,'Indicateurs - en cours'!$C$54:$J$60,8,FALSE),"")</f>
        <v>Suivi du % réel de valorisation énergétique / déchets entrants (indicateur Cit'ergie)</v>
      </c>
      <c r="H8" s="67"/>
      <c r="I8" s="67">
        <v>36</v>
      </c>
      <c r="J8" s="67" t="s">
        <v>159</v>
      </c>
      <c r="K8" s="67" t="str">
        <f>IF(VLOOKUP(I8,'Indicateurs - en cours'!$C$60:$J$77,8,FALSE)&lt;&gt;0,VLOOKUP(I8,'Indicateurs - en cours'!$C$60:$J$77,8,FALSE),"")</f>
        <v>Evolution sur les 5 dernières années du taux de captage de biogaz</v>
      </c>
      <c r="L8" s="67"/>
      <c r="M8" s="67">
        <v>42</v>
      </c>
      <c r="N8" s="67" t="s">
        <v>160</v>
      </c>
      <c r="O8" s="67" t="str">
        <f>IF(VLOOKUP(M8,'Indicateurs - en cours'!$C$60:$J$77,8,FALSE)&lt;&gt;0,VLOOKUP(M8,'Indicateurs - en cours'!$C$60:$J$77,8,FALSE),"")</f>
        <v>Evolution des taux de refus de tri par rapport à l'année précédente</v>
      </c>
      <c r="P8" s="67"/>
      <c r="Q8" s="67">
        <v>46</v>
      </c>
      <c r="R8" s="67" t="s">
        <v>161</v>
      </c>
      <c r="S8" s="67" t="str">
        <f>IF(VLOOKUP(Q8,'Indicateurs - en cours'!$C$60:$J$77,8,FALSE)&lt;&gt;0,VLOOKUP(Q8,'Indicateurs - en cours'!$C$60:$J$77,8,FALSE),"")</f>
        <v/>
      </c>
    </row>
    <row r="9" spans="1:20" ht="76.5" x14ac:dyDescent="0.25">
      <c r="A9">
        <v>27</v>
      </c>
      <c r="B9" s="127" t="s">
        <v>621</v>
      </c>
      <c r="C9" s="138" t="str">
        <f>IF(VLOOKUP(A9,'Indicateurs - en cours'!$C$50:$J$53,8,FALSE)&lt;&gt;0,VLOOKUP(A9,'Indicateurs - en cours'!$C$50:$J$53,8,FALSE),"")</f>
        <v>Evolution sur les 5 dernières années de la quantité d'énergie (électricité ou chaleur) produite à partir des biodééchets du territoire</v>
      </c>
      <c r="D9" s="438"/>
      <c r="E9" s="131">
        <v>31</v>
      </c>
      <c r="F9" s="82" t="s">
        <v>162</v>
      </c>
      <c r="G9" s="67" t="str">
        <f>IF(VLOOKUP(E9,'Indicateurs - en cours'!$C$54:$J$60,8,FALSE)&lt;&gt;0,VLOOKUP(E9,'Indicateurs - en cours'!$C$54:$J$60,8,FALSE),"")</f>
        <v>Quantité de mâchefers envoyés en plateforme de maturation</v>
      </c>
      <c r="H9" s="67"/>
      <c r="I9" s="67">
        <v>37</v>
      </c>
      <c r="J9" s="67" t="s">
        <v>163</v>
      </c>
      <c r="K9" s="67" t="str">
        <f>IF(VLOOKUP(I9,'Indicateurs - en cours'!$C$60:$J$77,8,FALSE)&lt;&gt;0,VLOOKUP(I9,'Indicateurs - en cours'!$C$60:$J$77,8,FALSE),"")</f>
        <v>Valorisation énergétique du biogaz (production de chaleur, cogénération ou injection dans le réseau gaz)</v>
      </c>
      <c r="L9" s="67"/>
      <c r="M9" s="67">
        <v>43</v>
      </c>
      <c r="N9" s="67" t="s">
        <v>164</v>
      </c>
      <c r="O9" s="67" t="str">
        <f>IF(VLOOKUP(M9,'Indicateurs - en cours'!$C$60:$J$77,8,FALSE)&lt;&gt;0,VLOOKUP(M9,'Indicateurs - en cours'!$C$60:$J$77,8,FALSE),"")</f>
        <v>Part du personnel de l'unité de tri ou du centre de démantèlement formé à la prévention et au recyclage des déchets</v>
      </c>
      <c r="P9" s="67"/>
      <c r="Q9" s="67">
        <v>47</v>
      </c>
      <c r="R9" s="67" t="s">
        <v>165</v>
      </c>
      <c r="S9" s="67" t="str">
        <f>IF(VLOOKUP(Q9,'Indicateurs - en cours'!$C$60:$J$77,8,FALSE)&lt;&gt;0,VLOOKUP(Q9,'Indicateurs - en cours'!$C$60:$J$77,8,FALSE),"")</f>
        <v>Part des déchets entrants issus de la collecte séparée</v>
      </c>
    </row>
    <row r="10" spans="1:20" ht="38.25" x14ac:dyDescent="0.25">
      <c r="B10" s="132"/>
      <c r="C10" s="133"/>
      <c r="D10" s="133"/>
      <c r="E10" s="131">
        <v>32</v>
      </c>
      <c r="F10" s="82" t="s">
        <v>166</v>
      </c>
      <c r="G10" s="67" t="str">
        <f>IF(VLOOKUP(E10,'Indicateurs - en cours'!$C$54:$J$60,8,FALSE)&lt;&gt;0,VLOOKUP(E10,'Indicateurs - en cours'!$C$54:$J$60,8,FALSE),"")</f>
        <v>Part de mâchefers (en masse) valorisés dans une filière TP</v>
      </c>
      <c r="H10" s="67"/>
      <c r="I10" s="67">
        <v>38</v>
      </c>
      <c r="J10" s="67" t="s">
        <v>167</v>
      </c>
      <c r="K10" s="67" t="str">
        <f>IF(VLOOKUP(I10,'Indicateurs - en cours'!$C$60:$J$77,8,FALSE)&lt;&gt;0,VLOOKUP(I10,'Indicateurs - en cours'!$C$60:$J$77,8,FALSE),"")</f>
        <v/>
      </c>
      <c r="L10" s="67"/>
      <c r="M10" s="67"/>
      <c r="O10" s="128"/>
      <c r="P10" s="128"/>
      <c r="Q10" s="67">
        <v>48</v>
      </c>
      <c r="R10" s="67" t="s">
        <v>168</v>
      </c>
      <c r="S10" s="133" t="str">
        <f>IF(VLOOKUP(Q10,'Indicateurs - en cours'!$C$60:$J$77,8,FALSE)&lt;&gt;0,VLOOKUP(Q10,'Indicateurs - en cours'!$C$60:$J$77,8,FALSE),"")</f>
        <v>Quantité de jus récupérés et traités</v>
      </c>
    </row>
    <row r="11" spans="1:20" ht="38.25" x14ac:dyDescent="0.25">
      <c r="B11" s="134"/>
      <c r="C11" s="131"/>
      <c r="D11" s="131"/>
      <c r="E11" s="131">
        <v>33</v>
      </c>
      <c r="F11" s="139" t="s">
        <v>170</v>
      </c>
      <c r="G11" s="86" t="str">
        <f>IF(VLOOKUP(E11,'Indicateurs - en cours'!$C$54:$J$60,8,FALSE)&lt;&gt;0,VLOOKUP(E11,'Indicateurs - en cours'!$C$54:$J$60,8,FALSE),"")</f>
        <v>La performance énergétique de l'UIOM est supérieure à 0,6 (incinérateur construit avant fin 2008), supérieure à 0,65 (incinérateur construit après 2008).</v>
      </c>
      <c r="H11" s="86"/>
      <c r="I11" s="67">
        <v>39</v>
      </c>
      <c r="J11" s="87" t="s">
        <v>171</v>
      </c>
      <c r="K11" s="67" t="str">
        <f>IF(VLOOKUP(I11,'Indicateurs - en cours'!$C$60:$J$77,8,FALSE)&lt;&gt;0,VLOOKUP(I11,'Indicateurs - en cours'!$C$60:$J$77,8,FALSE),"")</f>
        <v>Quantité de lixiviats captés et traités</v>
      </c>
      <c r="L11" s="67"/>
      <c r="M11" s="131"/>
      <c r="N11" s="131"/>
      <c r="O11" s="131"/>
      <c r="P11" s="131"/>
      <c r="Q11" s="67">
        <v>49</v>
      </c>
      <c r="R11" s="67" t="s">
        <v>616</v>
      </c>
      <c r="S11" s="133" t="str">
        <f>IF(VLOOKUP(Q11,'Indicateurs - en cours'!$C$60:$J$77,8,FALSE)&lt;&gt;0,VLOOKUP(Q11,'Indicateurs - en cours'!$C$60:$J$77,8,FALSE),"")</f>
        <v>Quantité de refus valorisés de manière appropriée</v>
      </c>
    </row>
    <row r="12" spans="1:20" ht="51" x14ac:dyDescent="0.25">
      <c r="B12" s="134"/>
      <c r="C12" s="131"/>
      <c r="D12" s="131"/>
      <c r="E12" s="131"/>
      <c r="F12" s="82"/>
      <c r="G12" s="82"/>
      <c r="H12" s="82"/>
      <c r="I12" s="82"/>
      <c r="J12" s="131"/>
      <c r="K12" s="131"/>
      <c r="L12" s="131"/>
      <c r="M12" s="131"/>
      <c r="N12" s="131"/>
      <c r="O12" s="131"/>
      <c r="P12" s="131"/>
      <c r="Q12" s="67">
        <v>50</v>
      </c>
      <c r="R12" s="67" t="s">
        <v>617</v>
      </c>
      <c r="S12" s="67" t="str">
        <f>IF(VLOOKUP(Q12,'Indicateurs - en cours'!$C$60:$J$77,8,FALSE)&lt;&gt;0,VLOOKUP(Q12,'Indicateurs - en cours'!$C$60:$J$77,8,FALSE),"")</f>
        <v>Quantité de compost utilisé localement (&lt;20 km) par les agriculteurs</v>
      </c>
    </row>
    <row r="13" spans="1:20" ht="25.5" x14ac:dyDescent="0.25">
      <c r="B13" s="135"/>
      <c r="C13" s="136"/>
      <c r="D13" s="136"/>
      <c r="E13" s="136"/>
      <c r="F13" s="136"/>
      <c r="G13" s="136"/>
      <c r="H13" s="136"/>
      <c r="I13" s="136"/>
      <c r="J13" s="136"/>
      <c r="K13" s="136"/>
      <c r="L13" s="136"/>
      <c r="M13" s="136"/>
      <c r="N13" s="136"/>
      <c r="O13" s="136"/>
      <c r="P13" s="439"/>
      <c r="Q13" s="67">
        <v>51</v>
      </c>
      <c r="R13" s="91" t="s">
        <v>618</v>
      </c>
      <c r="S13" s="91" t="str">
        <f>IF(VLOOKUP(Q13,'Indicateurs - en cours'!$C$60:$J$77,8,FALSE)&lt;&gt;0,VLOOKUP(Q13,'Indicateurs - en cours'!$C$60:$J$77,8,FALSE),"")</f>
        <v>Evolution de la part des déchets organiques dans les OMR</v>
      </c>
    </row>
    <row r="14" spans="1:20" x14ac:dyDescent="0.25">
      <c r="A14" t="s">
        <v>893</v>
      </c>
      <c r="B14">
        <v>4</v>
      </c>
      <c r="F14">
        <v>6</v>
      </c>
      <c r="J14">
        <v>6</v>
      </c>
      <c r="N14">
        <v>4</v>
      </c>
      <c r="R14" s="198">
        <v>8</v>
      </c>
    </row>
    <row r="15" spans="1:20" x14ac:dyDescent="0.25">
      <c r="R15" s="198"/>
    </row>
  </sheetData>
  <mergeCells count="2">
    <mergeCell ref="B4:R4"/>
    <mergeCell ref="B1:T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Z57"/>
  <sheetViews>
    <sheetView showGridLines="0" tabSelected="1" zoomScale="80" zoomScaleNormal="80" workbookViewId="0">
      <selection activeCell="M34" sqref="M34"/>
    </sheetView>
  </sheetViews>
  <sheetFormatPr baseColWidth="10" defaultColWidth="11.42578125" defaultRowHeight="15" x14ac:dyDescent="0.25"/>
  <cols>
    <col min="1" max="1" width="5.42578125" customWidth="1"/>
    <col min="2" max="2" width="24.28515625" customWidth="1"/>
    <col min="3" max="3" width="38.85546875" customWidth="1"/>
    <col min="4" max="4" width="3.5703125" style="404" customWidth="1"/>
    <col min="5" max="5" width="10" style="99" bestFit="1" customWidth="1"/>
    <col min="6" max="6" width="14" customWidth="1"/>
    <col min="7" max="7" width="74.28515625" customWidth="1"/>
    <col min="8" max="8" width="44" style="199" customWidth="1"/>
    <col min="9" max="9" width="74" customWidth="1"/>
    <col min="10" max="10" width="3.5703125" customWidth="1"/>
    <col min="11" max="11" width="12" customWidth="1"/>
    <col min="12" max="12" width="12" hidden="1" customWidth="1"/>
    <col min="13" max="13" width="13.7109375" style="1" customWidth="1"/>
    <col min="14" max="14" width="17.7109375" style="50" hidden="1" customWidth="1"/>
    <col min="15" max="15" width="37.140625" style="1" customWidth="1"/>
    <col min="16" max="16" width="13.7109375" style="1" customWidth="1"/>
    <col min="17" max="17" width="3" style="1" customWidth="1"/>
    <col min="18" max="18" width="13.7109375" style="1" customWidth="1"/>
    <col min="19" max="19" width="17.7109375" style="50" hidden="1" customWidth="1"/>
    <col min="20" max="20" width="37.140625" style="1" customWidth="1"/>
    <col min="21" max="21" width="13.7109375" style="1" customWidth="1"/>
    <col min="22" max="22" width="3" style="1" customWidth="1"/>
    <col min="23" max="23" width="13.7109375" style="1" customWidth="1"/>
    <col min="24" max="24" width="17.7109375" style="50" hidden="1" customWidth="1"/>
    <col min="25" max="25" width="37.140625" style="1" customWidth="1"/>
    <col min="26" max="26" width="13.7109375" style="1" customWidth="1"/>
  </cols>
  <sheetData>
    <row r="1" spans="1:26" ht="18.75" x14ac:dyDescent="0.25">
      <c r="A1" s="881" t="s">
        <v>886</v>
      </c>
      <c r="B1" s="881"/>
      <c r="C1" s="881"/>
      <c r="D1" s="881"/>
      <c r="E1" s="881"/>
      <c r="F1" s="881"/>
      <c r="G1" s="881"/>
      <c r="H1" s="881"/>
      <c r="I1" s="881"/>
      <c r="J1" s="881"/>
      <c r="K1" s="881"/>
      <c r="L1" s="881"/>
      <c r="M1" s="881"/>
      <c r="N1" s="881"/>
      <c r="O1" s="881"/>
      <c r="P1" s="526"/>
      <c r="Q1" s="526"/>
      <c r="R1" s="526"/>
      <c r="S1" s="526"/>
      <c r="T1" s="526"/>
      <c r="U1" s="526"/>
      <c r="V1" s="526"/>
      <c r="W1" s="526"/>
      <c r="X1" s="526"/>
      <c r="Y1" s="526"/>
      <c r="Z1" s="526"/>
    </row>
    <row r="2" spans="1:26" x14ac:dyDescent="0.25">
      <c r="A2" s="52"/>
      <c r="B2" s="52"/>
      <c r="C2" s="52"/>
      <c r="D2" s="402"/>
      <c r="E2" s="299"/>
      <c r="F2" s="52"/>
      <c r="G2" s="52"/>
      <c r="H2" s="55"/>
      <c r="I2" s="52"/>
      <c r="J2" s="52"/>
      <c r="K2" s="52"/>
      <c r="L2" s="52"/>
    </row>
    <row r="3" spans="1:26" ht="29.25" customHeight="1" x14ac:dyDescent="0.25">
      <c r="A3" s="52"/>
      <c r="B3" s="882" t="s">
        <v>59</v>
      </c>
      <c r="C3" s="882" t="s">
        <v>60</v>
      </c>
      <c r="D3" s="403"/>
      <c r="E3" s="835" t="s">
        <v>889</v>
      </c>
      <c r="F3" s="835"/>
      <c r="G3" s="835"/>
      <c r="H3" s="835"/>
      <c r="I3" s="835"/>
      <c r="J3" s="53"/>
      <c r="L3" s="525"/>
      <c r="M3" s="835" t="s">
        <v>920</v>
      </c>
      <c r="N3" s="835"/>
      <c r="O3" s="835"/>
      <c r="P3" s="835"/>
      <c r="R3" s="835" t="s">
        <v>921</v>
      </c>
      <c r="S3" s="835"/>
      <c r="T3" s="835"/>
      <c r="U3" s="835"/>
      <c r="W3" s="835" t="s">
        <v>924</v>
      </c>
      <c r="X3" s="835"/>
      <c r="Y3" s="835"/>
      <c r="Z3" s="835"/>
    </row>
    <row r="4" spans="1:26" ht="51" x14ac:dyDescent="0.25">
      <c r="A4" s="52"/>
      <c r="B4" s="882"/>
      <c r="C4" s="882"/>
      <c r="D4" s="403"/>
      <c r="E4" s="98" t="s">
        <v>902</v>
      </c>
      <c r="F4" s="98" t="s">
        <v>61</v>
      </c>
      <c r="G4" s="76" t="s">
        <v>62</v>
      </c>
      <c r="H4" s="76" t="s">
        <v>63</v>
      </c>
      <c r="I4" s="76" t="s">
        <v>916</v>
      </c>
      <c r="J4" s="54"/>
      <c r="K4" s="75" t="s">
        <v>915</v>
      </c>
      <c r="L4" s="75" t="s">
        <v>673</v>
      </c>
      <c r="M4" s="424" t="s">
        <v>918</v>
      </c>
      <c r="N4" s="75" t="s">
        <v>896</v>
      </c>
      <c r="O4" s="75" t="s">
        <v>917</v>
      </c>
      <c r="P4" s="424" t="s">
        <v>919</v>
      </c>
      <c r="R4" s="424" t="s">
        <v>922</v>
      </c>
      <c r="S4" s="75" t="s">
        <v>896</v>
      </c>
      <c r="T4" s="75" t="s">
        <v>917</v>
      </c>
      <c r="U4" s="424" t="s">
        <v>923</v>
      </c>
      <c r="W4" s="424" t="s">
        <v>925</v>
      </c>
      <c r="X4" s="75" t="s">
        <v>896</v>
      </c>
      <c r="Y4" s="75" t="s">
        <v>917</v>
      </c>
      <c r="Z4" s="424" t="s">
        <v>926</v>
      </c>
    </row>
    <row r="5" spans="1:26" ht="7.5" customHeight="1" x14ac:dyDescent="0.25">
      <c r="A5" s="52"/>
      <c r="B5" s="57"/>
      <c r="C5" s="57"/>
      <c r="D5" s="403"/>
      <c r="E5" s="411"/>
      <c r="F5" s="58"/>
      <c r="G5" s="56"/>
      <c r="H5" s="56"/>
      <c r="I5" s="56"/>
      <c r="J5" s="54"/>
      <c r="K5" s="58"/>
      <c r="L5" s="58"/>
      <c r="M5" s="3"/>
      <c r="P5" s="3"/>
      <c r="R5" s="3"/>
      <c r="U5" s="3"/>
      <c r="W5" s="3"/>
      <c r="Z5" s="3"/>
    </row>
    <row r="6" spans="1:26" ht="90" customHeight="1" x14ac:dyDescent="0.25">
      <c r="A6" s="884" t="s">
        <v>172</v>
      </c>
      <c r="B6" s="883" t="s">
        <v>533</v>
      </c>
      <c r="C6" s="889" t="s">
        <v>387</v>
      </c>
      <c r="D6" s="403">
        <v>1</v>
      </c>
      <c r="E6" s="885" t="s">
        <v>67</v>
      </c>
      <c r="F6" s="283" t="s">
        <v>68</v>
      </c>
      <c r="G6" s="250" t="s">
        <v>534</v>
      </c>
      <c r="H6" s="111" t="str">
        <f>IF(VLOOKUP(D6,'Indicateurs - en cours'!$C$106:$J$169,8,FALSE)&lt;&gt;0,VLOOKUP(D6,'Indicateurs - en cours'!$C$106:$J$169,8,FALSE),"")</f>
        <v>Le diagnostic de l'économie circulaire réalisé dans l'orientation 1.1 est détaillé pour au moins 2 filières à enjeux sur le territoire. Les gisements sont identifiés, les acteurs recensés et enfin des opportunités de développement et de partenariat ont été identifiés. L'auditeur peut lire ce diagnostic</v>
      </c>
      <c r="I6" s="112" t="s">
        <v>174</v>
      </c>
      <c r="J6" s="54"/>
      <c r="K6" s="887">
        <v>60</v>
      </c>
      <c r="L6" s="428">
        <f>INDEX('Note finale'!$B$5:$AA$26,MATCH($A$6,'Note finale'!$B$5:$B$26,0),MATCH('Axe 3'!$E$6,'Note finale'!$B$4:$AA$4,0))</f>
        <v>1.6605166051660517E-2</v>
      </c>
      <c r="M6" s="598"/>
      <c r="N6" s="775">
        <f>L6*M6</f>
        <v>0</v>
      </c>
      <c r="O6" s="600"/>
      <c r="P6" s="601"/>
      <c r="R6" s="612"/>
      <c r="S6" s="775">
        <f>L6*R6</f>
        <v>0</v>
      </c>
      <c r="T6" s="600"/>
      <c r="U6" s="601"/>
      <c r="W6" s="612"/>
      <c r="X6" s="775">
        <f>L6*W6</f>
        <v>0</v>
      </c>
      <c r="Y6" s="600"/>
      <c r="Z6" s="601"/>
    </row>
    <row r="7" spans="1:26" ht="60.75" customHeight="1" x14ac:dyDescent="0.25">
      <c r="A7" s="884"/>
      <c r="B7" s="883"/>
      <c r="C7" s="889"/>
      <c r="D7" s="403">
        <v>2</v>
      </c>
      <c r="E7" s="886"/>
      <c r="F7" s="281" t="s">
        <v>68</v>
      </c>
      <c r="G7" s="87" t="s">
        <v>531</v>
      </c>
      <c r="H7" s="113" t="str">
        <f>IF(VLOOKUP(D7,'Indicateurs - en cours'!$C$106:$J$169,8,FALSE)&lt;&gt;0,VLOOKUP(D7,'Indicateurs - en cours'!$C$106:$J$169,8,FALSE),"")</f>
        <v/>
      </c>
      <c r="I7" s="114" t="s">
        <v>945</v>
      </c>
      <c r="J7" s="54"/>
      <c r="K7" s="888"/>
      <c r="L7" s="429">
        <f>INDEX('Note finale'!$B$5:$AA$26,MATCH($A$6,'Note finale'!$B$5:$B$26,0),MATCH('Axe 3'!$E$6,'Note finale'!$B$4:$AA$4,0))</f>
        <v>1.6605166051660517E-2</v>
      </c>
      <c r="M7" s="602"/>
      <c r="N7" s="776">
        <f t="shared" ref="N7:N56" si="0">L7*M7</f>
        <v>0</v>
      </c>
      <c r="O7" s="604"/>
      <c r="P7" s="605"/>
      <c r="R7" s="613"/>
      <c r="S7" s="776">
        <f t="shared" ref="S7:S56" si="1">L7*R7</f>
        <v>0</v>
      </c>
      <c r="T7" s="604"/>
      <c r="U7" s="605"/>
      <c r="W7" s="613"/>
      <c r="X7" s="776">
        <f t="shared" ref="X7:X56" si="2">L7*W7</f>
        <v>0</v>
      </c>
      <c r="Y7" s="604"/>
      <c r="Z7" s="605"/>
    </row>
    <row r="8" spans="1:26" ht="409.5" customHeight="1" x14ac:dyDescent="0.25">
      <c r="A8" s="884"/>
      <c r="B8" s="883"/>
      <c r="C8" s="889"/>
      <c r="D8" s="403">
        <v>3</v>
      </c>
      <c r="E8" s="470" t="s">
        <v>73</v>
      </c>
      <c r="F8" s="282" t="s">
        <v>68</v>
      </c>
      <c r="G8" s="91" t="s">
        <v>532</v>
      </c>
      <c r="H8" s="115" t="str">
        <f>IF(VLOOKUP(D8,'Indicateurs - en cours'!$C$106:$J$169,8,FALSE)&lt;&gt;0,VLOOKUP(D8,'Indicateurs - en cours'!$C$106:$J$169,8,FALSE),"")</f>
        <v>Le plan d'action pour les filières à enjeux identifiées dans l'action de base est présenté, détaillé et en cours de mise en œuvre</v>
      </c>
      <c r="I8" s="271" t="s">
        <v>947</v>
      </c>
      <c r="J8" s="54"/>
      <c r="K8" s="518">
        <v>40</v>
      </c>
      <c r="L8" s="430">
        <f>INDEX('Note finale'!$B$5:$AA$26,MATCH($A$6,'Note finale'!$B$5:$B$26,0),MATCH('Axe 3'!$E$8,'Note finale'!$B$4:$AA$4,0))</f>
        <v>2.2140221402214021E-2</v>
      </c>
      <c r="M8" s="608"/>
      <c r="N8" s="777">
        <f t="shared" si="0"/>
        <v>0</v>
      </c>
      <c r="O8" s="672"/>
      <c r="P8" s="611"/>
      <c r="R8" s="614"/>
      <c r="S8" s="777">
        <f t="shared" si="1"/>
        <v>0</v>
      </c>
      <c r="T8" s="672"/>
      <c r="U8" s="611"/>
      <c r="W8" s="614"/>
      <c r="X8" s="777">
        <f t="shared" si="2"/>
        <v>0</v>
      </c>
      <c r="Y8" s="672"/>
      <c r="Z8" s="611"/>
    </row>
    <row r="9" spans="1:26" s="244" customFormat="1" ht="7.5" customHeight="1" x14ac:dyDescent="0.25">
      <c r="A9" s="657"/>
      <c r="B9" s="658"/>
      <c r="C9" s="659"/>
      <c r="D9" s="660"/>
      <c r="E9" s="661"/>
      <c r="F9" s="662"/>
      <c r="G9" s="663"/>
      <c r="H9" s="663"/>
      <c r="I9" s="663"/>
      <c r="J9" s="663"/>
      <c r="K9" s="695"/>
      <c r="L9" s="665"/>
      <c r="M9" s="696"/>
      <c r="N9" s="638"/>
      <c r="O9" s="697"/>
      <c r="P9" s="696"/>
      <c r="Q9" s="637"/>
      <c r="R9" s="696"/>
      <c r="S9" s="638"/>
      <c r="T9" s="697"/>
      <c r="U9" s="696"/>
      <c r="V9" s="637"/>
      <c r="W9" s="696"/>
      <c r="X9" s="638"/>
      <c r="Y9" s="697"/>
      <c r="Z9" s="696"/>
    </row>
    <row r="10" spans="1:26" ht="37.5" customHeight="1" x14ac:dyDescent="0.25">
      <c r="A10" s="890" t="s">
        <v>175</v>
      </c>
      <c r="B10" s="896" t="s">
        <v>892</v>
      </c>
      <c r="C10" s="895" t="s">
        <v>181</v>
      </c>
      <c r="D10" s="403">
        <v>4</v>
      </c>
      <c r="E10" s="885" t="s">
        <v>67</v>
      </c>
      <c r="F10" s="283" t="s">
        <v>68</v>
      </c>
      <c r="G10" s="431" t="s">
        <v>182</v>
      </c>
      <c r="H10" s="431" t="str">
        <f>IF(VLOOKUP(D10,'Indicateurs - en cours'!$C$106:$J$169,8,FALSE)&lt;&gt;0,VLOOKUP(D10,'Indicateurs - en cours'!$C$106:$J$169,8,FALSE),"")</f>
        <v/>
      </c>
      <c r="I10" s="471"/>
      <c r="J10" s="55"/>
      <c r="K10" s="887">
        <v>20</v>
      </c>
      <c r="L10" s="428">
        <f>INDEX('Note finale'!$B$5:$AA$26,MATCH($A$10,'Note finale'!$B$5:$B$26,0),MATCH('Axe 3'!$E$10,'Note finale'!$B$4:$AA$4,0))</f>
        <v>1.5814443858724301E-3</v>
      </c>
      <c r="M10" s="598"/>
      <c r="N10" s="775">
        <f t="shared" si="0"/>
        <v>0</v>
      </c>
      <c r="O10" s="673"/>
      <c r="P10" s="601"/>
      <c r="R10" s="569"/>
      <c r="S10" s="779">
        <f t="shared" si="1"/>
        <v>0</v>
      </c>
      <c r="T10" s="679"/>
      <c r="U10" s="559"/>
      <c r="W10" s="569"/>
      <c r="X10" s="779">
        <f t="shared" si="2"/>
        <v>0</v>
      </c>
      <c r="Y10" s="679"/>
      <c r="Z10" s="559"/>
    </row>
    <row r="11" spans="1:26" ht="28.5" customHeight="1" x14ac:dyDescent="0.25">
      <c r="A11" s="890"/>
      <c r="B11" s="896"/>
      <c r="C11" s="895"/>
      <c r="D11" s="403">
        <v>5</v>
      </c>
      <c r="E11" s="886"/>
      <c r="F11" s="281" t="s">
        <v>68</v>
      </c>
      <c r="G11" s="432" t="s">
        <v>607</v>
      </c>
      <c r="H11" s="432" t="str">
        <f>IF(VLOOKUP(D11,'Indicateurs - en cours'!$C$106:$J$169,8,FALSE)&lt;&gt;0,VLOOKUP(D11,'Indicateurs - en cours'!$C$106:$J$169,8,FALSE),"")</f>
        <v>Quantité de gaspillage alimentaire dans les restaurants publics</v>
      </c>
      <c r="I11" s="472"/>
      <c r="J11" s="55"/>
      <c r="K11" s="888"/>
      <c r="L11" s="429">
        <f>INDEX('Note finale'!$B$5:$AA$26,MATCH($A$10,'Note finale'!$B$5:$B$26,0),MATCH('Axe 3'!$E$10,'Note finale'!$B$4:$AA$4,0))</f>
        <v>1.5814443858724301E-3</v>
      </c>
      <c r="M11" s="602"/>
      <c r="N11" s="776">
        <f t="shared" si="0"/>
        <v>0</v>
      </c>
      <c r="O11" s="646"/>
      <c r="P11" s="605"/>
      <c r="R11" s="570"/>
      <c r="S11" s="780">
        <f t="shared" si="1"/>
        <v>0</v>
      </c>
      <c r="T11" s="565"/>
      <c r="U11" s="562"/>
      <c r="W11" s="570"/>
      <c r="X11" s="780">
        <f t="shared" si="2"/>
        <v>0</v>
      </c>
      <c r="Y11" s="565"/>
      <c r="Z11" s="562"/>
    </row>
    <row r="12" spans="1:26" ht="53.25" customHeight="1" x14ac:dyDescent="0.25">
      <c r="A12" s="890"/>
      <c r="B12" s="896"/>
      <c r="C12" s="895"/>
      <c r="D12" s="403">
        <v>6</v>
      </c>
      <c r="E12" s="886"/>
      <c r="F12" s="281" t="s">
        <v>68</v>
      </c>
      <c r="G12" s="432" t="s">
        <v>183</v>
      </c>
      <c r="H12" s="432" t="str">
        <f>IF(VLOOKUP(D12,'Indicateurs - en cours'!$C$106:$J$169,8,FALSE)&lt;&gt;0,VLOOKUP(D12,'Indicateurs - en cours'!$C$106:$J$169,8,FALSE),"")</f>
        <v>La cartographie des achats de la collectivité est disponible</v>
      </c>
      <c r="I12" s="472"/>
      <c r="J12" s="55"/>
      <c r="K12" s="888"/>
      <c r="L12" s="429">
        <f>INDEX('Note finale'!$B$5:$AA$26,MATCH($A$10,'Note finale'!$B$5:$B$26,0),MATCH('Axe 3'!$E$10,'Note finale'!$B$4:$AA$4,0))</f>
        <v>1.5814443858724301E-3</v>
      </c>
      <c r="M12" s="602"/>
      <c r="N12" s="776">
        <f t="shared" si="0"/>
        <v>0</v>
      </c>
      <c r="O12" s="646"/>
      <c r="P12" s="605"/>
      <c r="R12" s="570"/>
      <c r="S12" s="780">
        <f t="shared" si="1"/>
        <v>0</v>
      </c>
      <c r="T12" s="565"/>
      <c r="U12" s="562"/>
      <c r="W12" s="570"/>
      <c r="X12" s="780">
        <f t="shared" si="2"/>
        <v>0</v>
      </c>
      <c r="Y12" s="565"/>
      <c r="Z12" s="562"/>
    </row>
    <row r="13" spans="1:26" ht="38.25" x14ac:dyDescent="0.25">
      <c r="A13" s="890"/>
      <c r="B13" s="896"/>
      <c r="C13" s="895"/>
      <c r="D13" s="403">
        <v>7</v>
      </c>
      <c r="E13" s="886"/>
      <c r="F13" s="281" t="s">
        <v>68</v>
      </c>
      <c r="G13" s="432" t="s">
        <v>184</v>
      </c>
      <c r="H13" s="432" t="str">
        <f>IF(VLOOKUP(D13,'Indicateurs - en cours'!$C$106:$J$169,8,FALSE)&lt;&gt;0,VLOOKUP(D13,'Indicateurs - en cours'!$C$106:$J$169,8,FALSE),"")</f>
        <v>Un plan de prévention contre la consommation excessive de papier bureautique est en place</v>
      </c>
      <c r="I13" s="472"/>
      <c r="J13" s="55"/>
      <c r="K13" s="888"/>
      <c r="L13" s="429">
        <f>INDEX('Note finale'!$B$5:$AA$26,MATCH($A$10,'Note finale'!$B$5:$B$26,0),MATCH('Axe 3'!$E$10,'Note finale'!$B$4:$AA$4,0))</f>
        <v>1.5814443858724301E-3</v>
      </c>
      <c r="M13" s="602"/>
      <c r="N13" s="776">
        <f t="shared" si="0"/>
        <v>0</v>
      </c>
      <c r="O13" s="606"/>
      <c r="P13" s="605"/>
      <c r="R13" s="570"/>
      <c r="S13" s="780">
        <f t="shared" si="1"/>
        <v>0</v>
      </c>
      <c r="T13" s="563"/>
      <c r="U13" s="562"/>
      <c r="W13" s="570"/>
      <c r="X13" s="780">
        <f t="shared" si="2"/>
        <v>0</v>
      </c>
      <c r="Y13" s="563"/>
      <c r="Z13" s="562"/>
    </row>
    <row r="14" spans="1:26" ht="69.75" customHeight="1" x14ac:dyDescent="0.25">
      <c r="A14" s="890"/>
      <c r="B14" s="896"/>
      <c r="C14" s="895"/>
      <c r="D14" s="403">
        <v>8</v>
      </c>
      <c r="E14" s="886"/>
      <c r="F14" s="281" t="s">
        <v>891</v>
      </c>
      <c r="G14" s="117" t="s">
        <v>188</v>
      </c>
      <c r="H14" s="118" t="str">
        <f>IF(VLOOKUP(D14,'Indicateurs - en cours'!$C$106:$J$169,8,FALSE)&lt;&gt;0,VLOOKUP(D14,'Indicateurs - en cours'!$C$106:$J$169,8,FALSE),"")</f>
        <v/>
      </c>
      <c r="I14" s="472"/>
      <c r="J14" s="55"/>
      <c r="K14" s="888"/>
      <c r="L14" s="429">
        <f>INDEX('Note finale'!$B$5:$AA$26,MATCH($A$10,'Note finale'!$B$5:$B$26,0),MATCH('Axe 3'!$E$10,'Note finale'!$B$4:$AA$4,0))</f>
        <v>1.5814443858724301E-3</v>
      </c>
      <c r="M14" s="602"/>
      <c r="N14" s="776">
        <f t="shared" si="0"/>
        <v>0</v>
      </c>
      <c r="O14" s="606"/>
      <c r="P14" s="605"/>
      <c r="R14" s="570"/>
      <c r="S14" s="780">
        <f t="shared" si="1"/>
        <v>0</v>
      </c>
      <c r="T14" s="563"/>
      <c r="U14" s="562"/>
      <c r="W14" s="570"/>
      <c r="X14" s="780">
        <f t="shared" si="2"/>
        <v>0</v>
      </c>
      <c r="Y14" s="563"/>
      <c r="Z14" s="562"/>
    </row>
    <row r="15" spans="1:26" ht="38.25" x14ac:dyDescent="0.25">
      <c r="A15" s="890"/>
      <c r="B15" s="896"/>
      <c r="C15" s="895"/>
      <c r="D15" s="403">
        <v>9</v>
      </c>
      <c r="E15" s="886"/>
      <c r="F15" s="281" t="s">
        <v>895</v>
      </c>
      <c r="G15" s="117" t="s">
        <v>651</v>
      </c>
      <c r="H15" s="118" t="str">
        <f>IF(VLOOKUP(D15,'Indicateurs - en cours'!$C$106:$J$169,8,FALSE)&lt;&gt;0,VLOOKUP(D15,'Indicateurs - en cours'!$C$106:$J$169,8,FALSE),"")</f>
        <v/>
      </c>
      <c r="I15" s="472"/>
      <c r="J15" s="55"/>
      <c r="K15" s="888"/>
      <c r="L15" s="429">
        <f>INDEX('Note finale'!$B$5:$AA$26,MATCH($A$10,'Note finale'!$B$5:$B$26,0),MATCH('Axe 3'!$E$10,'Note finale'!$B$4:$AA$4,0))</f>
        <v>1.5814443858724301E-3</v>
      </c>
      <c r="M15" s="602"/>
      <c r="N15" s="776">
        <f t="shared" si="0"/>
        <v>0</v>
      </c>
      <c r="O15" s="620"/>
      <c r="P15" s="605"/>
      <c r="R15" s="570"/>
      <c r="S15" s="780">
        <f t="shared" si="1"/>
        <v>0</v>
      </c>
      <c r="T15" s="680"/>
      <c r="U15" s="562"/>
      <c r="W15" s="570"/>
      <c r="X15" s="780">
        <f t="shared" si="2"/>
        <v>0</v>
      </c>
      <c r="Y15" s="680"/>
      <c r="Z15" s="562"/>
    </row>
    <row r="16" spans="1:26" ht="102" customHeight="1" x14ac:dyDescent="0.25">
      <c r="A16" s="890"/>
      <c r="B16" s="896"/>
      <c r="C16" s="895"/>
      <c r="D16" s="403">
        <v>10</v>
      </c>
      <c r="E16" s="886"/>
      <c r="F16" s="281" t="s">
        <v>68</v>
      </c>
      <c r="G16" s="432" t="s">
        <v>186</v>
      </c>
      <c r="H16" s="432" t="str">
        <f>IF(VLOOKUP(D16,'Indicateurs - en cours'!$C$106:$J$169,8,FALSE)&lt;&gt;0,VLOOKUP(D16,'Indicateurs - en cours'!$C$106:$J$169,8,FALSE),"")</f>
        <v/>
      </c>
      <c r="I16" s="473" t="s">
        <v>603</v>
      </c>
      <c r="J16" s="55"/>
      <c r="K16" s="888"/>
      <c r="L16" s="429">
        <f>INDEX('Note finale'!$B$5:$AA$26,MATCH($A$10,'Note finale'!$B$5:$B$26,0),MATCH('Axe 3'!$E$10,'Note finale'!$B$4:$AA$4,0))</f>
        <v>1.5814443858724301E-3</v>
      </c>
      <c r="M16" s="621"/>
      <c r="N16" s="776">
        <f t="shared" si="0"/>
        <v>0</v>
      </c>
      <c r="O16" s="606"/>
      <c r="P16" s="622"/>
      <c r="R16" s="681"/>
      <c r="S16" s="780">
        <f t="shared" si="1"/>
        <v>0</v>
      </c>
      <c r="T16" s="563"/>
      <c r="U16" s="682"/>
      <c r="W16" s="681"/>
      <c r="X16" s="780">
        <f t="shared" si="2"/>
        <v>0</v>
      </c>
      <c r="Y16" s="563"/>
      <c r="Z16" s="682"/>
    </row>
    <row r="17" spans="1:26" ht="51" x14ac:dyDescent="0.25">
      <c r="A17" s="890"/>
      <c r="B17" s="896"/>
      <c r="C17" s="895"/>
      <c r="D17" s="403">
        <v>11</v>
      </c>
      <c r="E17" s="886"/>
      <c r="F17" s="474" t="s">
        <v>146</v>
      </c>
      <c r="G17" s="475" t="s">
        <v>185</v>
      </c>
      <c r="H17" s="476" t="str">
        <f>IF(VLOOKUP(D17,'Indicateurs - en cours'!$C$106:$J$169,8,FALSE)&lt;&gt;0,VLOOKUP(D17,'Indicateurs - en cours'!$C$106:$J$169,8,FALSE),"")</f>
        <v>Nombre d'actions d'animation / d'évènements organisés</v>
      </c>
      <c r="I17" s="473"/>
      <c r="J17" s="55"/>
      <c r="K17" s="888"/>
      <c r="L17" s="429">
        <f>INDEX('Note finale'!$B$5:$AA$26,MATCH($A$10,'Note finale'!$B$5:$B$26,0),MATCH('Axe 3'!$E$10,'Note finale'!$B$4:$AA$4,0))</f>
        <v>1.5814443858724301E-3</v>
      </c>
      <c r="M17" s="602"/>
      <c r="N17" s="776">
        <f t="shared" si="0"/>
        <v>0</v>
      </c>
      <c r="O17" s="623"/>
      <c r="P17" s="605"/>
      <c r="R17" s="570"/>
      <c r="S17" s="780">
        <f t="shared" si="1"/>
        <v>0</v>
      </c>
      <c r="T17" s="683"/>
      <c r="U17" s="562"/>
      <c r="W17" s="570"/>
      <c r="X17" s="780">
        <f t="shared" si="2"/>
        <v>0</v>
      </c>
      <c r="Y17" s="683"/>
      <c r="Z17" s="562"/>
    </row>
    <row r="18" spans="1:26" ht="367.5" customHeight="1" x14ac:dyDescent="0.25">
      <c r="A18" s="890"/>
      <c r="B18" s="896"/>
      <c r="C18" s="895"/>
      <c r="D18" s="403">
        <v>12</v>
      </c>
      <c r="E18" s="886" t="s">
        <v>73</v>
      </c>
      <c r="F18" s="281" t="s">
        <v>68</v>
      </c>
      <c r="G18" s="117" t="s">
        <v>629</v>
      </c>
      <c r="H18" s="118" t="str">
        <f>IF(VLOOKUP(D18,'Indicateurs - en cours'!$C$106:$J$169,8,FALSE)&lt;&gt;0,VLOOKUP(D18,'Indicateurs - en cours'!$C$106:$J$169,8,FALSE),"")</f>
        <v>Part de marchés avec des clauses environnementales (%) (indicateur Cit'ergie)</v>
      </c>
      <c r="I18" s="477" t="s">
        <v>929</v>
      </c>
      <c r="J18" s="55"/>
      <c r="K18" s="888">
        <v>70</v>
      </c>
      <c r="L18" s="429">
        <f>INDEX('Note finale'!$B$5:$AA$26,MATCH($A$10,'Note finale'!$B$5:$B$26,0),MATCH('Axe 3'!$E$18,'Note finale'!$B$4:$AA$4,0))</f>
        <v>4.8431734317343177E-3</v>
      </c>
      <c r="M18" s="624"/>
      <c r="N18" s="776">
        <f t="shared" si="0"/>
        <v>0</v>
      </c>
      <c r="O18" s="607"/>
      <c r="P18" s="625"/>
      <c r="R18" s="576"/>
      <c r="S18" s="780">
        <f t="shared" si="1"/>
        <v>0</v>
      </c>
      <c r="T18" s="564"/>
      <c r="U18" s="573"/>
      <c r="W18" s="576"/>
      <c r="X18" s="780">
        <f t="shared" si="2"/>
        <v>0</v>
      </c>
      <c r="Y18" s="564"/>
      <c r="Z18" s="573"/>
    </row>
    <row r="19" spans="1:26" ht="55.5" customHeight="1" x14ac:dyDescent="0.25">
      <c r="A19" s="890"/>
      <c r="B19" s="896"/>
      <c r="C19" s="895"/>
      <c r="D19" s="403">
        <v>13</v>
      </c>
      <c r="E19" s="886"/>
      <c r="F19" s="281" t="s">
        <v>68</v>
      </c>
      <c r="G19" s="432" t="s">
        <v>187</v>
      </c>
      <c r="H19" s="118" t="str">
        <f>IF(VLOOKUP(D19,'Indicateurs - en cours'!$C$106:$J$169,8,FALSE)&lt;&gt;0,VLOOKUP(D19,'Indicateurs - en cours'!$C$106:$J$169,8,FALSE),"")</f>
        <v/>
      </c>
      <c r="I19" s="478"/>
      <c r="J19" s="55"/>
      <c r="K19" s="888"/>
      <c r="L19" s="429">
        <f>INDEX('Note finale'!$B$5:$AA$26,MATCH($A$10,'Note finale'!$B$5:$B$26,0),MATCH('Axe 3'!$E$18,'Note finale'!$B$4:$AA$4,0))</f>
        <v>4.8431734317343177E-3</v>
      </c>
      <c r="M19" s="624"/>
      <c r="N19" s="776">
        <f t="shared" si="0"/>
        <v>0</v>
      </c>
      <c r="O19" s="626"/>
      <c r="P19" s="625"/>
      <c r="R19" s="576"/>
      <c r="S19" s="780">
        <f t="shared" si="1"/>
        <v>0</v>
      </c>
      <c r="T19" s="684"/>
      <c r="U19" s="573"/>
      <c r="W19" s="576"/>
      <c r="X19" s="780">
        <f t="shared" si="2"/>
        <v>0</v>
      </c>
      <c r="Y19" s="684"/>
      <c r="Z19" s="573"/>
    </row>
    <row r="20" spans="1:26" ht="46.5" customHeight="1" x14ac:dyDescent="0.25">
      <c r="A20" s="897"/>
      <c r="B20" s="897"/>
      <c r="C20" s="897"/>
      <c r="D20" s="403">
        <v>14</v>
      </c>
      <c r="E20" s="886"/>
      <c r="F20" s="281" t="s">
        <v>68</v>
      </c>
      <c r="G20" s="479" t="s">
        <v>948</v>
      </c>
      <c r="H20" s="118" t="str">
        <f>IF(VLOOKUP(D20,'Indicateurs - en cours'!$C$106:$J$169,8,FALSE)&lt;&gt;0,VLOOKUP(D20,'Indicateurs - en cours'!$C$106:$J$169,8,FALSE),"")</f>
        <v>Part des achats de matériels de seconde main dans la commande annuelle totale. L'auditeur peut réaliser un entretien avec les acheteurs</v>
      </c>
      <c r="I20" s="119" t="s">
        <v>949</v>
      </c>
      <c r="J20" s="55"/>
      <c r="K20" s="888"/>
      <c r="L20" s="429">
        <f>INDEX('Note finale'!$B$5:$AA$26,MATCH($A$10,'Note finale'!$B$5:$B$26,0),MATCH('Axe 3'!$E$18,'Note finale'!$B$4:$AA$4,0))</f>
        <v>4.8431734317343177E-3</v>
      </c>
      <c r="M20" s="621"/>
      <c r="N20" s="776">
        <f t="shared" si="0"/>
        <v>0</v>
      </c>
      <c r="O20" s="606"/>
      <c r="P20" s="622"/>
      <c r="R20" s="681"/>
      <c r="S20" s="780">
        <f t="shared" si="1"/>
        <v>0</v>
      </c>
      <c r="T20" s="563"/>
      <c r="U20" s="682"/>
      <c r="W20" s="681"/>
      <c r="X20" s="780">
        <f t="shared" si="2"/>
        <v>0</v>
      </c>
      <c r="Y20" s="563"/>
      <c r="Z20" s="682"/>
    </row>
    <row r="21" spans="1:26" ht="25.5" x14ac:dyDescent="0.25">
      <c r="A21" s="897"/>
      <c r="B21" s="897"/>
      <c r="C21" s="897"/>
      <c r="D21" s="403">
        <v>15</v>
      </c>
      <c r="E21" s="886"/>
      <c r="F21" s="281" t="s">
        <v>68</v>
      </c>
      <c r="G21" s="117" t="s">
        <v>644</v>
      </c>
      <c r="H21" s="118" t="str">
        <f>IF(VLOOKUP(D21,'Indicateurs - en cours'!$C$106:$J$169,8,FALSE)&lt;&gt;0,VLOOKUP(D21,'Indicateurs - en cours'!$C$106:$J$169,8,FALSE),"")</f>
        <v/>
      </c>
      <c r="I21" s="119"/>
      <c r="J21" s="55"/>
      <c r="K21" s="888"/>
      <c r="L21" s="429">
        <f>INDEX('Note finale'!$B$5:$AA$26,MATCH($A$10,'Note finale'!$B$5:$B$26,0),MATCH('Axe 3'!$E$18,'Note finale'!$B$4:$AA$4,0))</f>
        <v>4.8431734317343177E-3</v>
      </c>
      <c r="M21" s="602"/>
      <c r="N21" s="776">
        <f t="shared" si="0"/>
        <v>0</v>
      </c>
      <c r="O21" s="630"/>
      <c r="P21" s="605"/>
      <c r="R21" s="570"/>
      <c r="S21" s="780">
        <f t="shared" si="1"/>
        <v>0</v>
      </c>
      <c r="T21" s="685"/>
      <c r="U21" s="562"/>
      <c r="W21" s="570"/>
      <c r="X21" s="780">
        <f t="shared" si="2"/>
        <v>0</v>
      </c>
      <c r="Y21" s="685"/>
      <c r="Z21" s="562"/>
    </row>
    <row r="22" spans="1:26" ht="63.75" x14ac:dyDescent="0.25">
      <c r="A22" s="897"/>
      <c r="B22" s="897"/>
      <c r="C22" s="897"/>
      <c r="D22" s="403">
        <v>16</v>
      </c>
      <c r="E22" s="886"/>
      <c r="F22" s="281" t="s">
        <v>146</v>
      </c>
      <c r="G22" s="117" t="s">
        <v>189</v>
      </c>
      <c r="H22" s="118" t="str">
        <f>IF(VLOOKUP(D22,'Indicateurs - en cours'!$C$106:$J$169,8,FALSE)&lt;&gt;0,VLOOKUP(D22,'Indicateurs - en cours'!$C$106:$J$169,8,FALSE),"")</f>
        <v/>
      </c>
      <c r="I22" s="811"/>
      <c r="J22" s="55"/>
      <c r="K22" s="888"/>
      <c r="L22" s="429">
        <f>INDEX('Note finale'!$B$5:$AA$26,MATCH($A$10,'Note finale'!$B$5:$B$26,0),MATCH('Axe 3'!$E$18,'Note finale'!$B$4:$AA$4,0))</f>
        <v>4.8431734317343177E-3</v>
      </c>
      <c r="M22" s="602"/>
      <c r="N22" s="776">
        <f t="shared" si="0"/>
        <v>0</v>
      </c>
      <c r="O22" s="607"/>
      <c r="P22" s="605"/>
      <c r="R22" s="570"/>
      <c r="S22" s="780">
        <f t="shared" si="1"/>
        <v>0</v>
      </c>
      <c r="T22" s="564"/>
      <c r="U22" s="562"/>
      <c r="W22" s="570"/>
      <c r="X22" s="780">
        <f t="shared" si="2"/>
        <v>0</v>
      </c>
      <c r="Y22" s="564"/>
      <c r="Z22" s="562"/>
    </row>
    <row r="23" spans="1:26" ht="45.75" customHeight="1" x14ac:dyDescent="0.25">
      <c r="A23" s="897"/>
      <c r="B23" s="897"/>
      <c r="C23" s="897"/>
      <c r="D23" s="403">
        <v>17</v>
      </c>
      <c r="E23" s="886"/>
      <c r="F23" s="281" t="s">
        <v>68</v>
      </c>
      <c r="G23" s="117" t="s">
        <v>190</v>
      </c>
      <c r="H23" s="118" t="str">
        <f>IF(VLOOKUP(D23,'Indicateurs - en cours'!$C$106:$J$169,8,FALSE)&lt;&gt;0,VLOOKUP(D23,'Indicateurs - en cours'!$C$106:$J$169,8,FALSE),"")</f>
        <v>Evolution des déchets des établissements publics sur les 3 dernières années. L'auditeur peut réaliser un entretien avec les acheteurs</v>
      </c>
      <c r="I23" s="119"/>
      <c r="J23" s="55"/>
      <c r="K23" s="888"/>
      <c r="L23" s="429">
        <f>INDEX('Note finale'!$B$5:$AA$26,MATCH($A$10,'Note finale'!$B$5:$B$26,0),MATCH('Axe 3'!$E$18,'Note finale'!$B$4:$AA$4,0))</f>
        <v>4.8431734317343177E-3</v>
      </c>
      <c r="M23" s="602"/>
      <c r="N23" s="776">
        <f t="shared" si="0"/>
        <v>0</v>
      </c>
      <c r="O23" s="607"/>
      <c r="P23" s="605"/>
      <c r="R23" s="570"/>
      <c r="S23" s="780">
        <f t="shared" si="1"/>
        <v>0</v>
      </c>
      <c r="T23" s="564"/>
      <c r="U23" s="562"/>
      <c r="W23" s="570"/>
      <c r="X23" s="780">
        <f t="shared" si="2"/>
        <v>0</v>
      </c>
      <c r="Y23" s="564"/>
      <c r="Z23" s="562"/>
    </row>
    <row r="24" spans="1:26" ht="45" customHeight="1" x14ac:dyDescent="0.25">
      <c r="A24" s="897"/>
      <c r="B24" s="897"/>
      <c r="C24" s="897"/>
      <c r="D24" s="403">
        <v>18</v>
      </c>
      <c r="E24" s="886"/>
      <c r="F24" s="281" t="s">
        <v>68</v>
      </c>
      <c r="G24" s="117" t="s">
        <v>684</v>
      </c>
      <c r="H24" s="118" t="str">
        <f>IF(VLOOKUP(D24,'Indicateurs - en cours'!$C$106:$J$169,8,FALSE)&lt;&gt;0,VLOOKUP(D24,'Indicateurs - en cours'!$C$106:$J$169,8,FALSE),"")</f>
        <v/>
      </c>
      <c r="I24" s="119"/>
      <c r="J24" s="55"/>
      <c r="K24" s="888"/>
      <c r="L24" s="429">
        <f>INDEX('Note finale'!$B$5:$AA$26,MATCH($A$10,'Note finale'!$B$5:$B$26,0),MATCH('Axe 3'!$E$18,'Note finale'!$B$4:$AA$4,0))</f>
        <v>4.8431734317343177E-3</v>
      </c>
      <c r="M24" s="602"/>
      <c r="N24" s="776">
        <f t="shared" si="0"/>
        <v>0</v>
      </c>
      <c r="O24" s="607"/>
      <c r="P24" s="605"/>
      <c r="R24" s="570"/>
      <c r="S24" s="780">
        <f t="shared" si="1"/>
        <v>0</v>
      </c>
      <c r="T24" s="564"/>
      <c r="U24" s="562"/>
      <c r="W24" s="570"/>
      <c r="X24" s="780">
        <f t="shared" si="2"/>
        <v>0</v>
      </c>
      <c r="Y24" s="564"/>
      <c r="Z24" s="562"/>
    </row>
    <row r="25" spans="1:26" ht="52.5" customHeight="1" x14ac:dyDescent="0.25">
      <c r="A25" s="897"/>
      <c r="B25" s="897"/>
      <c r="C25" s="897"/>
      <c r="D25" s="403">
        <v>19</v>
      </c>
      <c r="E25" s="886"/>
      <c r="F25" s="281" t="s">
        <v>68</v>
      </c>
      <c r="G25" s="117" t="s">
        <v>606</v>
      </c>
      <c r="H25" s="118" t="str">
        <f>IF(VLOOKUP(D25,'Indicateurs - en cours'!$C$106:$J$169,8,FALSE)&lt;&gt;0,VLOOKUP(D25,'Indicateurs - en cours'!$C$106:$J$169,8,FALSE),"")</f>
        <v>Part du personnel ayant suivi une formation sur les pratiques durables</v>
      </c>
      <c r="I25" s="119"/>
      <c r="J25" s="55"/>
      <c r="K25" s="888"/>
      <c r="L25" s="429">
        <f>INDEX('Note finale'!$B$5:$AA$26,MATCH($A$10,'Note finale'!$B$5:$B$26,0),MATCH('Axe 3'!$E$18,'Note finale'!$B$4:$AA$4,0))</f>
        <v>4.8431734317343177E-3</v>
      </c>
      <c r="M25" s="674"/>
      <c r="N25" s="776">
        <f t="shared" si="0"/>
        <v>0</v>
      </c>
      <c r="O25" s="606"/>
      <c r="P25" s="675"/>
      <c r="R25" s="686"/>
      <c r="S25" s="780">
        <f t="shared" si="1"/>
        <v>0</v>
      </c>
      <c r="T25" s="563"/>
      <c r="U25" s="687"/>
      <c r="W25" s="686"/>
      <c r="X25" s="780">
        <f t="shared" si="2"/>
        <v>0</v>
      </c>
      <c r="Y25" s="563"/>
      <c r="Z25" s="687"/>
    </row>
    <row r="26" spans="1:26" ht="38.25" customHeight="1" x14ac:dyDescent="0.25">
      <c r="A26" s="897"/>
      <c r="B26" s="897"/>
      <c r="C26" s="897"/>
      <c r="D26" s="403">
        <v>20</v>
      </c>
      <c r="E26" s="470" t="s">
        <v>75</v>
      </c>
      <c r="F26" s="282" t="s">
        <v>68</v>
      </c>
      <c r="G26" s="120" t="s">
        <v>604</v>
      </c>
      <c r="H26" s="121" t="str">
        <f>IF(VLOOKUP(D26,'Indicateurs - en cours'!$C$106:$J$169,8,FALSE)&lt;&gt;0,VLOOKUP(D26,'Indicateurs - en cours'!$C$106:$J$169,8,FALSE),"")</f>
        <v>La charte achats durables ou la labellisation est présentée à l'auditeur</v>
      </c>
      <c r="I26" s="122" t="s">
        <v>602</v>
      </c>
      <c r="J26" s="55"/>
      <c r="K26" s="518">
        <v>10</v>
      </c>
      <c r="L26" s="430">
        <f>INDEX('Note finale'!$B$5:$AA$26,MATCH($A$10,'Note finale'!$B$5:$B$26,0),MATCH('Axe 3'!$E$26,'Note finale'!$B$4:$AA$4,0))</f>
        <v>5.5350553505535052E-3</v>
      </c>
      <c r="M26" s="676"/>
      <c r="N26" s="777">
        <f t="shared" si="0"/>
        <v>0</v>
      </c>
      <c r="O26" s="677"/>
      <c r="P26" s="678"/>
      <c r="R26" s="588"/>
      <c r="S26" s="785">
        <f t="shared" si="1"/>
        <v>0</v>
      </c>
      <c r="T26" s="688"/>
      <c r="U26" s="585"/>
      <c r="W26" s="588"/>
      <c r="X26" s="785">
        <f t="shared" si="2"/>
        <v>0</v>
      </c>
      <c r="Y26" s="688"/>
      <c r="Z26" s="585"/>
    </row>
    <row r="27" spans="1:26" s="244" customFormat="1" ht="7.5" customHeight="1" x14ac:dyDescent="0.25">
      <c r="A27" s="657"/>
      <c r="B27" s="658"/>
      <c r="C27" s="659"/>
      <c r="D27" s="660"/>
      <c r="E27" s="661"/>
      <c r="F27" s="662"/>
      <c r="G27" s="663"/>
      <c r="H27" s="663"/>
      <c r="I27" s="663"/>
      <c r="J27" s="663"/>
      <c r="K27" s="695"/>
      <c r="L27" s="665"/>
      <c r="M27" s="638"/>
      <c r="N27" s="638"/>
      <c r="O27" s="640"/>
      <c r="P27" s="638"/>
      <c r="Q27" s="637"/>
      <c r="R27" s="638"/>
      <c r="S27" s="638"/>
      <c r="T27" s="640"/>
      <c r="U27" s="638"/>
      <c r="V27" s="637"/>
      <c r="W27" s="638"/>
      <c r="X27" s="638"/>
      <c r="Y27" s="640"/>
      <c r="Z27" s="638"/>
    </row>
    <row r="28" spans="1:26" ht="204" customHeight="1" x14ac:dyDescent="0.25">
      <c r="A28" s="884" t="s">
        <v>180</v>
      </c>
      <c r="B28" s="896" t="s">
        <v>176</v>
      </c>
      <c r="C28" s="895" t="s">
        <v>601</v>
      </c>
      <c r="D28" s="403">
        <v>21</v>
      </c>
      <c r="E28" s="480" t="s">
        <v>67</v>
      </c>
      <c r="F28" s="283" t="s">
        <v>68</v>
      </c>
      <c r="G28" s="250" t="s">
        <v>928</v>
      </c>
      <c r="H28" s="258" t="str">
        <f>IF(VLOOKUP(D28,'Indicateurs - en cours'!$C$106:$J$169,8,FALSE)&lt;&gt;0,VLOOKUP(D28,'Indicateurs - en cours'!$C$106:$J$169,8,FALSE),"")</f>
        <v>Nombre de campagnes de communication réalisées sur le territoire</v>
      </c>
      <c r="I28" s="259" t="s">
        <v>546</v>
      </c>
      <c r="J28" s="55"/>
      <c r="K28" s="689">
        <v>10</v>
      </c>
      <c r="L28" s="690">
        <f>INDEX('Note finale'!$B$5:$AA$26,MATCH($A$28,'Note finale'!$B$5:$B$26,0),MATCH('Axe 3'!$E$28,'Note finale'!$B$4:$AA$4,0))</f>
        <v>5.5350553505535052E-3</v>
      </c>
      <c r="M28" s="501"/>
      <c r="N28" s="779">
        <f t="shared" si="0"/>
        <v>0</v>
      </c>
      <c r="O28" s="691"/>
      <c r="P28" s="581"/>
      <c r="R28" s="586"/>
      <c r="S28" s="779">
        <f t="shared" si="1"/>
        <v>0</v>
      </c>
      <c r="T28" s="691"/>
      <c r="U28" s="581"/>
      <c r="W28" s="586"/>
      <c r="X28" s="779">
        <f t="shared" si="2"/>
        <v>0</v>
      </c>
      <c r="Y28" s="691"/>
      <c r="Z28" s="581"/>
    </row>
    <row r="29" spans="1:26" ht="157.5" customHeight="1" x14ac:dyDescent="0.25">
      <c r="A29" s="884"/>
      <c r="B29" s="896"/>
      <c r="C29" s="895"/>
      <c r="D29" s="403">
        <v>22</v>
      </c>
      <c r="E29" s="886" t="s">
        <v>73</v>
      </c>
      <c r="F29" s="281" t="s">
        <v>68</v>
      </c>
      <c r="G29" s="113" t="s">
        <v>599</v>
      </c>
      <c r="H29" s="113" t="str">
        <f>IF(VLOOKUP(D29,'Indicateurs - en cours'!$C$106:$J$169,8,FALSE)&lt;&gt;0,VLOOKUP(D29,'Indicateurs - en cours'!$C$106:$J$169,8,FALSE),"")</f>
        <v xml:space="preserve">Nombre de réunions sur la dynamique régionale et locale en faveur de la réparation </v>
      </c>
      <c r="I29" s="268" t="s">
        <v>930</v>
      </c>
      <c r="J29" s="55"/>
      <c r="K29" s="891">
        <v>70</v>
      </c>
      <c r="L29" s="692">
        <f>INDEX('Note finale'!$B$5:$AA$26,MATCH($A$28,'Note finale'!$B$5:$B$26,0),MATCH('Axe 3'!$E$29,'Note finale'!$B$4:$AA$4,0))</f>
        <v>1.9372693726937271E-2</v>
      </c>
      <c r="M29" s="502"/>
      <c r="N29" s="780">
        <f t="shared" si="0"/>
        <v>0</v>
      </c>
      <c r="O29" s="565"/>
      <c r="P29" s="583"/>
      <c r="R29" s="587"/>
      <c r="S29" s="780">
        <f t="shared" si="1"/>
        <v>0</v>
      </c>
      <c r="T29" s="565"/>
      <c r="U29" s="583"/>
      <c r="W29" s="587"/>
      <c r="X29" s="780">
        <f t="shared" si="2"/>
        <v>0</v>
      </c>
      <c r="Y29" s="565"/>
      <c r="Z29" s="583"/>
    </row>
    <row r="30" spans="1:26" ht="51" x14ac:dyDescent="0.25">
      <c r="A30" s="884"/>
      <c r="B30" s="896"/>
      <c r="C30" s="895"/>
      <c r="D30" s="403">
        <v>23</v>
      </c>
      <c r="E30" s="886"/>
      <c r="F30" s="281" t="s">
        <v>68</v>
      </c>
      <c r="G30" s="113" t="s">
        <v>177</v>
      </c>
      <c r="H30" s="302" t="str">
        <f>IF(VLOOKUP(D30,'Indicateurs - en cours'!$C$106:$J$169,8,FALSE)&lt;&gt;0,VLOOKUP(D30,'Indicateurs - en cours'!$C$106:$J$169,8,FALSE),"")</f>
        <v>Fréquence de parution d'articles (via journaux ou site internet) sur le sujet</v>
      </c>
      <c r="I30" s="270" t="s">
        <v>589</v>
      </c>
      <c r="J30" s="55"/>
      <c r="K30" s="891"/>
      <c r="L30" s="692">
        <f>INDEX('Note finale'!$B$5:$AA$26,MATCH($A$28,'Note finale'!$B$5:$B$26,0),MATCH('Axe 3'!$E$29,'Note finale'!$B$4:$AA$4,0))</f>
        <v>1.9372693726937271E-2</v>
      </c>
      <c r="M30" s="795"/>
      <c r="N30" s="780">
        <f t="shared" si="0"/>
        <v>0</v>
      </c>
      <c r="O30" s="563"/>
      <c r="P30" s="796"/>
      <c r="R30" s="686"/>
      <c r="S30" s="780">
        <f t="shared" si="1"/>
        <v>0</v>
      </c>
      <c r="T30" s="563"/>
      <c r="U30" s="796"/>
      <c r="W30" s="686"/>
      <c r="X30" s="780">
        <f t="shared" si="2"/>
        <v>0</v>
      </c>
      <c r="Y30" s="563"/>
      <c r="Z30" s="796"/>
    </row>
    <row r="31" spans="1:26" ht="102" customHeight="1" x14ac:dyDescent="0.25">
      <c r="A31" s="884"/>
      <c r="B31" s="896"/>
      <c r="C31" s="895"/>
      <c r="D31" s="403">
        <v>24</v>
      </c>
      <c r="E31" s="470" t="s">
        <v>75</v>
      </c>
      <c r="F31" s="282" t="s">
        <v>68</v>
      </c>
      <c r="G31" s="115" t="s">
        <v>178</v>
      </c>
      <c r="H31" s="303" t="str">
        <f>IF(VLOOKUP(D31,'Indicateurs - en cours'!$C$106:$J$169,8,FALSE)&lt;&gt;0,VLOOKUP(D31,'Indicateurs - en cours'!$C$106:$J$169,8,FALSE),"")</f>
        <v>Un outil de calcul des flux de matières sur le territoire de la collectivité est disponible et à jour</v>
      </c>
      <c r="I31" s="116" t="s">
        <v>179</v>
      </c>
      <c r="J31" s="55"/>
      <c r="K31" s="693">
        <v>20</v>
      </c>
      <c r="L31" s="694">
        <f>INDEX('Note finale'!$B$5:$AA$26,MATCH($A$28,'Note finale'!$B$5:$B$26,0),MATCH('Axe 3'!$E$31,'Note finale'!$B$4:$AA$4,0))</f>
        <v>1.107011070110701E-2</v>
      </c>
      <c r="M31" s="797"/>
      <c r="N31" s="785">
        <f t="shared" si="0"/>
        <v>0</v>
      </c>
      <c r="O31" s="798"/>
      <c r="P31" s="799"/>
      <c r="R31" s="810"/>
      <c r="S31" s="785">
        <f t="shared" si="1"/>
        <v>0</v>
      </c>
      <c r="T31" s="798"/>
      <c r="U31" s="799"/>
      <c r="W31" s="810"/>
      <c r="X31" s="785">
        <f t="shared" si="2"/>
        <v>0</v>
      </c>
      <c r="Y31" s="798"/>
      <c r="Z31" s="799"/>
    </row>
    <row r="32" spans="1:26" s="244" customFormat="1" ht="7.5" customHeight="1" x14ac:dyDescent="0.25">
      <c r="A32" s="657"/>
      <c r="B32" s="659"/>
      <c r="C32" s="659"/>
      <c r="D32" s="660"/>
      <c r="E32" s="661"/>
      <c r="F32" s="662"/>
      <c r="G32" s="663"/>
      <c r="H32" s="663"/>
      <c r="I32" s="663"/>
      <c r="J32" s="663"/>
      <c r="K32" s="664"/>
      <c r="L32" s="665"/>
      <c r="M32" s="788"/>
      <c r="N32" s="789"/>
      <c r="O32" s="790"/>
      <c r="P32" s="790"/>
      <c r="Q32" s="597"/>
      <c r="R32" s="788"/>
      <c r="S32" s="789"/>
      <c r="T32" s="790"/>
      <c r="U32" s="790"/>
      <c r="V32" s="597"/>
      <c r="W32" s="788"/>
      <c r="X32" s="789"/>
      <c r="Y32" s="790"/>
      <c r="Z32" s="790"/>
    </row>
    <row r="33" spans="1:26" ht="63" customHeight="1" x14ac:dyDescent="0.25">
      <c r="A33" s="890" t="s">
        <v>191</v>
      </c>
      <c r="B33" s="896" t="s">
        <v>192</v>
      </c>
      <c r="C33" s="895" t="s">
        <v>193</v>
      </c>
      <c r="D33" s="403">
        <v>25</v>
      </c>
      <c r="E33" s="480" t="s">
        <v>67</v>
      </c>
      <c r="F33" s="481" t="s">
        <v>201</v>
      </c>
      <c r="G33" s="482" t="s">
        <v>613</v>
      </c>
      <c r="H33" s="483" t="str">
        <f>IF(VLOOKUP(D33,'Indicateurs - en cours'!$C$106:$J$169,8,FALSE)&lt;&gt;0,VLOOKUP(D33,'Indicateurs - en cours'!$C$106:$J$169,8,FALSE),"")</f>
        <v>Nombre d'entreprises impliquées dans le réseau d'éco-conception</v>
      </c>
      <c r="I33" s="484" t="s">
        <v>194</v>
      </c>
      <c r="J33" s="55"/>
      <c r="K33" s="689">
        <v>40</v>
      </c>
      <c r="L33" s="690">
        <f>INDEX('Note finale'!$B$5:$AA$26,MATCH($A$33,'Note finale'!$B$5:$B$26,0),MATCH('Axe 3'!$E$33,'Note finale'!$B$4:$AA$4,0))</f>
        <v>0</v>
      </c>
      <c r="M33" s="793"/>
      <c r="N33" s="779">
        <f t="shared" si="0"/>
        <v>0</v>
      </c>
      <c r="O33" s="691"/>
      <c r="P33" s="794"/>
      <c r="R33" s="809"/>
      <c r="S33" s="779">
        <f t="shared" si="1"/>
        <v>0</v>
      </c>
      <c r="T33" s="691"/>
      <c r="U33" s="794"/>
      <c r="W33" s="809"/>
      <c r="X33" s="779">
        <f t="shared" si="2"/>
        <v>0</v>
      </c>
      <c r="Y33" s="691"/>
      <c r="Z33" s="794"/>
    </row>
    <row r="34" spans="1:26" ht="126.75" customHeight="1" x14ac:dyDescent="0.25">
      <c r="A34" s="890"/>
      <c r="B34" s="896"/>
      <c r="C34" s="895"/>
      <c r="D34" s="403">
        <v>26</v>
      </c>
      <c r="E34" s="886" t="s">
        <v>73</v>
      </c>
      <c r="F34" s="485" t="s">
        <v>201</v>
      </c>
      <c r="G34" s="117" t="s">
        <v>578</v>
      </c>
      <c r="H34" s="118" t="str">
        <f>IF(VLOOKUP(D34,'Indicateurs - en cours'!$C$106:$J$169,8,FALSE)&lt;&gt;0,VLOOKUP(D34,'Indicateurs - en cours'!$C$106:$J$169,8,FALSE),"")</f>
        <v>Part de matériaux recyclés intégrés dans les processus industriels / de transformation</v>
      </c>
      <c r="I34" s="119" t="s">
        <v>950</v>
      </c>
      <c r="J34" s="55"/>
      <c r="K34" s="891">
        <v>60</v>
      </c>
      <c r="L34" s="692">
        <f>IF(Préambule!$E$43="Oui",0,INDEX('Note finale'!$B$5:$AA$26,MATCH($A$33,'Note finale'!$B$5:$B$26,0),MATCH('Axe 3'!$E$34,'Note finale'!$B$4:$AA$4,0)))</f>
        <v>0</v>
      </c>
      <c r="M34" s="795"/>
      <c r="N34" s="780">
        <f t="shared" si="0"/>
        <v>0</v>
      </c>
      <c r="O34" s="563"/>
      <c r="P34" s="796"/>
      <c r="R34" s="686"/>
      <c r="S34" s="780">
        <f t="shared" si="1"/>
        <v>0</v>
      </c>
      <c r="T34" s="563"/>
      <c r="U34" s="796"/>
      <c r="W34" s="686"/>
      <c r="X34" s="780">
        <f t="shared" si="2"/>
        <v>0</v>
      </c>
      <c r="Y34" s="563"/>
      <c r="Z34" s="796"/>
    </row>
    <row r="35" spans="1:26" ht="31.5" customHeight="1" x14ac:dyDescent="0.25">
      <c r="A35" s="890"/>
      <c r="B35" s="896"/>
      <c r="C35" s="895"/>
      <c r="D35" s="403">
        <v>27</v>
      </c>
      <c r="E35" s="886"/>
      <c r="F35" s="485" t="s">
        <v>201</v>
      </c>
      <c r="G35" s="117" t="s">
        <v>195</v>
      </c>
      <c r="H35" s="118" t="str">
        <f>IF(VLOOKUP(D35,'Indicateurs - en cours'!$C$106:$J$169,8,FALSE)&lt;&gt;0,VLOOKUP(D35,'Indicateurs - en cours'!$C$106:$J$169,8,FALSE),"")</f>
        <v/>
      </c>
      <c r="I35" s="119"/>
      <c r="J35" s="55"/>
      <c r="K35" s="891"/>
      <c r="L35" s="692">
        <f>IF(Préambule!$E$43="Oui",0,INDEX('Note finale'!$B$5:$AA$26,MATCH($A$33,'Note finale'!$B$5:$B$26,0),MATCH('Axe 3'!$E$34,'Note finale'!$B$4:$AA$4,0)))</f>
        <v>0</v>
      </c>
      <c r="M35" s="795"/>
      <c r="N35" s="780">
        <f t="shared" si="0"/>
        <v>0</v>
      </c>
      <c r="O35" s="563"/>
      <c r="P35" s="796"/>
      <c r="R35" s="686"/>
      <c r="S35" s="780">
        <f t="shared" si="1"/>
        <v>0</v>
      </c>
      <c r="T35" s="563"/>
      <c r="U35" s="796"/>
      <c r="W35" s="686"/>
      <c r="X35" s="780">
        <f t="shared" si="2"/>
        <v>0</v>
      </c>
      <c r="Y35" s="563"/>
      <c r="Z35" s="796"/>
    </row>
    <row r="36" spans="1:26" ht="88.5" customHeight="1" x14ac:dyDescent="0.25">
      <c r="A36" s="890"/>
      <c r="B36" s="896"/>
      <c r="C36" s="895"/>
      <c r="D36" s="403">
        <v>28</v>
      </c>
      <c r="E36" s="893"/>
      <c r="F36" s="282" t="s">
        <v>955</v>
      </c>
      <c r="G36" s="120" t="s">
        <v>196</v>
      </c>
      <c r="H36" s="121" t="str">
        <f>IF(VLOOKUP(D36,'Indicateurs - en cours'!$C$106:$J$169,8,FALSE)&lt;&gt;0,VLOOKUP(D36,'Indicateurs - en cours'!$C$106:$J$169,8,FALSE),"")</f>
        <v>Nombre de formations proposées sur le sujet de l'éco-conception</v>
      </c>
      <c r="I36" s="122" t="s">
        <v>197</v>
      </c>
      <c r="J36" s="55"/>
      <c r="K36" s="892"/>
      <c r="L36" s="694">
        <f>IF(Préambule!$E$45="Non",0,INDEX('Note finale'!$B$5:$AA$26,MATCH($A$33,'Note finale'!$B$5:$B$26,0),MATCH('Axe 3'!$E$34,'Note finale'!$B$4:$AA$4,0)))</f>
        <v>2.7675276752767528E-2</v>
      </c>
      <c r="M36" s="797"/>
      <c r="N36" s="785">
        <f t="shared" si="0"/>
        <v>0</v>
      </c>
      <c r="O36" s="798"/>
      <c r="P36" s="799"/>
      <c r="R36" s="810"/>
      <c r="S36" s="785">
        <f t="shared" si="1"/>
        <v>0</v>
      </c>
      <c r="T36" s="798"/>
      <c r="U36" s="799"/>
      <c r="W36" s="810"/>
      <c r="X36" s="785">
        <f t="shared" si="2"/>
        <v>0</v>
      </c>
      <c r="Y36" s="798"/>
      <c r="Z36" s="799"/>
    </row>
    <row r="37" spans="1:26" s="244" customFormat="1" ht="7.5" customHeight="1" x14ac:dyDescent="0.25">
      <c r="A37" s="663"/>
      <c r="B37" s="666"/>
      <c r="C37" s="667"/>
      <c r="D37" s="660"/>
      <c r="E37" s="668"/>
      <c r="F37" s="663"/>
      <c r="G37" s="669"/>
      <c r="H37" s="669"/>
      <c r="I37" s="669"/>
      <c r="J37" s="669"/>
      <c r="K37" s="670"/>
      <c r="L37" s="665"/>
      <c r="M37" s="788"/>
      <c r="N37" s="789"/>
      <c r="O37" s="790"/>
      <c r="P37" s="790"/>
      <c r="Q37" s="597"/>
      <c r="R37" s="788"/>
      <c r="S37" s="789"/>
      <c r="T37" s="790"/>
      <c r="U37" s="790"/>
      <c r="V37" s="597"/>
      <c r="W37" s="788"/>
      <c r="X37" s="789"/>
      <c r="Y37" s="790"/>
      <c r="Z37" s="790"/>
    </row>
    <row r="38" spans="1:26" ht="51" customHeight="1" x14ac:dyDescent="0.25">
      <c r="A38" s="890" t="s">
        <v>198</v>
      </c>
      <c r="B38" s="896" t="s">
        <v>199</v>
      </c>
      <c r="C38" s="889" t="s">
        <v>582</v>
      </c>
      <c r="D38" s="403">
        <v>29</v>
      </c>
      <c r="E38" s="885" t="s">
        <v>67</v>
      </c>
      <c r="F38" s="283" t="s">
        <v>68</v>
      </c>
      <c r="G38" s="431" t="s">
        <v>575</v>
      </c>
      <c r="H38" s="486" t="str">
        <f>IF(VLOOKUP(D38,'Indicateurs - en cours'!$C$106:$J$169,8,FALSE)&lt;&gt;0,VLOOKUP(D38,'Indicateurs - en cours'!$C$106:$J$169,8,FALSE),"")</f>
        <v>Nombre et types de communication sur l'EIT réalisées</v>
      </c>
      <c r="I38" s="487" t="s">
        <v>200</v>
      </c>
      <c r="J38" s="55"/>
      <c r="K38" s="894">
        <v>50</v>
      </c>
      <c r="L38" s="690">
        <f>INDEX('Note finale'!$B$5:$AA$26,MATCH($A$38,'Note finale'!$B$5:$B$26,0),MATCH('Axe 3'!$E$38,'Note finale'!$B$4:$AA$4,0))</f>
        <v>7.6875768757687585E-3</v>
      </c>
      <c r="M38" s="793"/>
      <c r="N38" s="779">
        <f t="shared" si="0"/>
        <v>0</v>
      </c>
      <c r="O38" s="691"/>
      <c r="P38" s="794"/>
      <c r="R38" s="809"/>
      <c r="S38" s="779">
        <f t="shared" si="1"/>
        <v>0</v>
      </c>
      <c r="T38" s="691"/>
      <c r="U38" s="794"/>
      <c r="W38" s="809"/>
      <c r="X38" s="779">
        <f t="shared" si="2"/>
        <v>0</v>
      </c>
      <c r="Y38" s="691"/>
      <c r="Z38" s="794"/>
    </row>
    <row r="39" spans="1:26" ht="38.25" x14ac:dyDescent="0.25">
      <c r="A39" s="890"/>
      <c r="B39" s="896"/>
      <c r="C39" s="889"/>
      <c r="D39" s="403">
        <v>30</v>
      </c>
      <c r="E39" s="886"/>
      <c r="F39" s="281" t="s">
        <v>68</v>
      </c>
      <c r="G39" s="117" t="s">
        <v>574</v>
      </c>
      <c r="H39" s="488" t="str">
        <f>IF(VLOOKUP(D39,'Indicateurs - en cours'!$C$106:$J$169,8,FALSE)&lt;&gt;0,VLOOKUP(D39,'Indicateurs - en cours'!$C$106:$J$169,8,FALSE),"")</f>
        <v>Nombre d'orientations relevant de l'EIT dans les plans de la collectivité</v>
      </c>
      <c r="I39" s="489"/>
      <c r="J39" s="55"/>
      <c r="K39" s="891"/>
      <c r="L39" s="692">
        <f>INDEX('Note finale'!$B$5:$AA$26,MATCH($A$38,'Note finale'!$B$5:$B$26,0),MATCH('Axe 3'!$E$38,'Note finale'!$B$4:$AA$4,0))</f>
        <v>7.6875768757687585E-3</v>
      </c>
      <c r="M39" s="795"/>
      <c r="N39" s="780">
        <f t="shared" si="0"/>
        <v>0</v>
      </c>
      <c r="O39" s="563"/>
      <c r="P39" s="796"/>
      <c r="R39" s="686"/>
      <c r="S39" s="780">
        <f t="shared" si="1"/>
        <v>0</v>
      </c>
      <c r="T39" s="563"/>
      <c r="U39" s="796"/>
      <c r="W39" s="686"/>
      <c r="X39" s="780">
        <f t="shared" si="2"/>
        <v>0</v>
      </c>
      <c r="Y39" s="563"/>
      <c r="Z39" s="796"/>
    </row>
    <row r="40" spans="1:26" ht="76.5" customHeight="1" x14ac:dyDescent="0.25">
      <c r="A40" s="890"/>
      <c r="B40" s="896"/>
      <c r="C40" s="889"/>
      <c r="D40" s="403">
        <v>31</v>
      </c>
      <c r="E40" s="886"/>
      <c r="F40" s="281"/>
      <c r="G40" s="117" t="s">
        <v>577</v>
      </c>
      <c r="H40" s="118" t="str">
        <f>IF(VLOOKUP(D40,'Indicateurs - en cours'!$C$106:$J$169,8,FALSE)&lt;&gt;0,VLOOKUP(D40,'Indicateurs - en cours'!$C$106:$J$169,8,FALSE),"")</f>
        <v>Nombre de rencontres réalisées</v>
      </c>
      <c r="I40" s="119" t="s">
        <v>581</v>
      </c>
      <c r="J40" s="55"/>
      <c r="K40" s="891"/>
      <c r="L40" s="692">
        <f>INDEX('Note finale'!$B$5:$AA$26,MATCH($A$38,'Note finale'!$B$5:$B$26,0),MATCH('Axe 3'!$E$38,'Note finale'!$B$4:$AA$4,0))</f>
        <v>7.6875768757687585E-3</v>
      </c>
      <c r="M40" s="795"/>
      <c r="N40" s="780">
        <f t="shared" si="0"/>
        <v>0</v>
      </c>
      <c r="O40" s="563"/>
      <c r="P40" s="796"/>
      <c r="R40" s="686"/>
      <c r="S40" s="780">
        <f t="shared" si="1"/>
        <v>0</v>
      </c>
      <c r="T40" s="563"/>
      <c r="U40" s="796"/>
      <c r="W40" s="686"/>
      <c r="X40" s="780">
        <f t="shared" si="2"/>
        <v>0</v>
      </c>
      <c r="Y40" s="563"/>
      <c r="Z40" s="796"/>
    </row>
    <row r="41" spans="1:26" ht="63.75" customHeight="1" x14ac:dyDescent="0.25">
      <c r="A41" s="890"/>
      <c r="B41" s="896"/>
      <c r="C41" s="889"/>
      <c r="D41" s="403">
        <v>32</v>
      </c>
      <c r="E41" s="886" t="s">
        <v>73</v>
      </c>
      <c r="F41" s="281" t="s">
        <v>201</v>
      </c>
      <c r="G41" s="432" t="s">
        <v>547</v>
      </c>
      <c r="H41" s="118" t="str">
        <f>IF(VLOOKUP(D41,'Indicateurs - en cours'!$C$106:$J$169,8,FALSE)&lt;&gt;0,VLOOKUP(D41,'Indicateurs - en cours'!$C$106:$J$169,8,FALSE),"")</f>
        <v/>
      </c>
      <c r="I41" s="478" t="s">
        <v>548</v>
      </c>
      <c r="J41" s="55"/>
      <c r="K41" s="891">
        <v>40</v>
      </c>
      <c r="L41" s="692">
        <f>IF(Préambule!$E$43="Oui",0,INDEX('Note finale'!$B$5:$AA$26,MATCH($A$38,'Note finale'!$B$5:$B$26,0),MATCH('Axe 3'!$E$41,'Note finale'!$B$4:$AA$4,0)))</f>
        <v>0</v>
      </c>
      <c r="M41" s="795"/>
      <c r="N41" s="780">
        <f t="shared" si="0"/>
        <v>0</v>
      </c>
      <c r="O41" s="563"/>
      <c r="P41" s="796"/>
      <c r="R41" s="686"/>
      <c r="S41" s="780">
        <f t="shared" si="1"/>
        <v>0</v>
      </c>
      <c r="T41" s="563"/>
      <c r="U41" s="796"/>
      <c r="W41" s="686"/>
      <c r="X41" s="780">
        <f t="shared" si="2"/>
        <v>0</v>
      </c>
      <c r="Y41" s="563"/>
      <c r="Z41" s="796"/>
    </row>
    <row r="42" spans="1:26" ht="221.25" customHeight="1" x14ac:dyDescent="0.25">
      <c r="A42" s="890"/>
      <c r="B42" s="896"/>
      <c r="C42" s="889"/>
      <c r="D42" s="403">
        <v>33</v>
      </c>
      <c r="E42" s="886"/>
      <c r="F42" s="281" t="s">
        <v>201</v>
      </c>
      <c r="G42" s="117" t="s">
        <v>579</v>
      </c>
      <c r="H42" s="118" t="str">
        <f>IF(VLOOKUP(D42,'Indicateurs - en cours'!$C$106:$J$169,8,FALSE)&lt;&gt;0,VLOOKUP(D42,'Indicateurs - en cours'!$C$106:$J$169,8,FALSE),"")</f>
        <v/>
      </c>
      <c r="I42" s="119" t="s">
        <v>931</v>
      </c>
      <c r="J42" s="55"/>
      <c r="K42" s="891"/>
      <c r="L42" s="692">
        <f>IF(Préambule!$E$43="Oui",0,INDEX('Note finale'!$B$5:$AA$26,MATCH($A$38,'Note finale'!$B$5:$B$26,0),MATCH('Axe 3'!$E$41,'Note finale'!$B$4:$AA$4,0)))</f>
        <v>0</v>
      </c>
      <c r="M42" s="795"/>
      <c r="N42" s="780">
        <f t="shared" si="0"/>
        <v>0</v>
      </c>
      <c r="O42" s="563"/>
      <c r="P42" s="796"/>
      <c r="R42" s="686"/>
      <c r="S42" s="780">
        <f t="shared" si="1"/>
        <v>0</v>
      </c>
      <c r="T42" s="563"/>
      <c r="U42" s="796"/>
      <c r="W42" s="686"/>
      <c r="X42" s="780">
        <f t="shared" si="2"/>
        <v>0</v>
      </c>
      <c r="Y42" s="563"/>
      <c r="Z42" s="796"/>
    </row>
    <row r="43" spans="1:26" ht="39.75" customHeight="1" x14ac:dyDescent="0.25">
      <c r="A43" s="890"/>
      <c r="B43" s="896"/>
      <c r="C43" s="889"/>
      <c r="D43" s="403">
        <v>34</v>
      </c>
      <c r="E43" s="886"/>
      <c r="F43" s="281" t="s">
        <v>68</v>
      </c>
      <c r="G43" s="117" t="s">
        <v>580</v>
      </c>
      <c r="H43" s="279" t="str">
        <f>IF(VLOOKUP(D43,'Indicateurs - en cours'!$C$106:$J$169,8,FALSE)&lt;&gt;0,VLOOKUP(D43,'Indicateurs - en cours'!$C$106:$J$169,8,FALSE),"")</f>
        <v>Emplois dédiés à l'animation des démarches d'EIT du territoire</v>
      </c>
      <c r="I43" s="811"/>
      <c r="J43" s="55"/>
      <c r="K43" s="891"/>
      <c r="L43" s="692">
        <f>INDEX('Note finale'!$B$5:$AA$26,MATCH($A$38,'Note finale'!$B$5:$B$26,0),MATCH('Axe 3'!$E$41,'Note finale'!$B$4:$AA$4,0))</f>
        <v>9.2250922509225092E-3</v>
      </c>
      <c r="M43" s="795"/>
      <c r="N43" s="780">
        <f t="shared" si="0"/>
        <v>0</v>
      </c>
      <c r="O43" s="563"/>
      <c r="P43" s="796"/>
      <c r="R43" s="686"/>
      <c r="S43" s="780">
        <f t="shared" si="1"/>
        <v>0</v>
      </c>
      <c r="T43" s="563"/>
      <c r="U43" s="796"/>
      <c r="W43" s="686"/>
      <c r="X43" s="780">
        <f t="shared" si="2"/>
        <v>0</v>
      </c>
      <c r="Y43" s="563"/>
      <c r="Z43" s="796"/>
    </row>
    <row r="44" spans="1:26" ht="44.25" customHeight="1" x14ac:dyDescent="0.25">
      <c r="A44" s="890"/>
      <c r="B44" s="896"/>
      <c r="C44" s="889"/>
      <c r="D44" s="403">
        <v>35</v>
      </c>
      <c r="E44" s="886"/>
      <c r="F44" s="281" t="s">
        <v>68</v>
      </c>
      <c r="G44" s="117" t="s">
        <v>956</v>
      </c>
      <c r="H44" s="279" t="str">
        <f>IF(VLOOKUP(D44,'Indicateurs - en cours'!$C$106:$J$169,8,FALSE)&lt;&gt;0,VLOOKUP(D44,'Indicateurs - en cours'!$C$106:$J$169,8,FALSE),"")</f>
        <v>Nombre de synergies réalisées et impacts environnementaux et sociaux</v>
      </c>
      <c r="I44" s="478"/>
      <c r="J44" s="55"/>
      <c r="K44" s="891"/>
      <c r="L44" s="692">
        <f>INDEX('Note finale'!$B$5:$AA$26,MATCH($A$38,'Note finale'!$B$5:$B$26,0),MATCH('Axe 3'!$E$41,'Note finale'!$B$4:$AA$4,0))</f>
        <v>9.2250922509225092E-3</v>
      </c>
      <c r="M44" s="795"/>
      <c r="N44" s="780">
        <f t="shared" si="0"/>
        <v>0</v>
      </c>
      <c r="O44" s="563"/>
      <c r="P44" s="796"/>
      <c r="R44" s="686"/>
      <c r="S44" s="780">
        <f t="shared" si="1"/>
        <v>0</v>
      </c>
      <c r="T44" s="563"/>
      <c r="U44" s="796"/>
      <c r="W44" s="686"/>
      <c r="X44" s="780">
        <f t="shared" si="2"/>
        <v>0</v>
      </c>
      <c r="Y44" s="563"/>
      <c r="Z44" s="796"/>
    </row>
    <row r="45" spans="1:26" ht="39.75" customHeight="1" x14ac:dyDescent="0.25">
      <c r="A45" s="890"/>
      <c r="B45" s="896"/>
      <c r="C45" s="889"/>
      <c r="D45" s="403">
        <v>36</v>
      </c>
      <c r="E45" s="490" t="s">
        <v>75</v>
      </c>
      <c r="F45" s="282" t="s">
        <v>68</v>
      </c>
      <c r="G45" s="120" t="s">
        <v>576</v>
      </c>
      <c r="H45" s="491" t="str">
        <f>IF(VLOOKUP(D45,'Indicateurs - en cours'!$C$106:$J$169,8,FALSE)&lt;&gt;0,VLOOKUP(D45,'Indicateurs - en cours'!$C$106:$J$169,8,FALSE),"")</f>
        <v>L'animateur EIT est inscrit sur la plateforme ELIPSE. La synthèse des résultats de sa démarche est disponible.</v>
      </c>
      <c r="I45" s="492" t="s">
        <v>202</v>
      </c>
      <c r="J45" s="55"/>
      <c r="K45" s="693">
        <v>10</v>
      </c>
      <c r="L45" s="694">
        <f>INDEX('Note finale'!$B$5:$AA$26,MATCH($A$38,'Note finale'!$B$5:$B$26,0),MATCH('Axe 3'!$E$45,'Note finale'!$B$4:$AA$4,0))</f>
        <v>4.6125461254612546E-3</v>
      </c>
      <c r="M45" s="797"/>
      <c r="N45" s="785">
        <f t="shared" si="0"/>
        <v>0</v>
      </c>
      <c r="O45" s="798"/>
      <c r="P45" s="799"/>
      <c r="R45" s="810"/>
      <c r="S45" s="785">
        <f t="shared" si="1"/>
        <v>0</v>
      </c>
      <c r="T45" s="798"/>
      <c r="U45" s="799"/>
      <c r="W45" s="810"/>
      <c r="X45" s="785">
        <f t="shared" si="2"/>
        <v>0</v>
      </c>
      <c r="Y45" s="798"/>
      <c r="Z45" s="799"/>
    </row>
    <row r="46" spans="1:26" s="244" customFormat="1" ht="7.5" customHeight="1" x14ac:dyDescent="0.25">
      <c r="A46" s="663"/>
      <c r="B46" s="671"/>
      <c r="C46" s="667"/>
      <c r="D46" s="660"/>
      <c r="E46" s="668"/>
      <c r="F46" s="663"/>
      <c r="G46" s="669"/>
      <c r="H46" s="669"/>
      <c r="I46" s="669"/>
      <c r="J46" s="669"/>
      <c r="K46" s="670"/>
      <c r="L46" s="665"/>
      <c r="M46" s="788"/>
      <c r="N46" s="789"/>
      <c r="O46" s="790"/>
      <c r="P46" s="790"/>
      <c r="Q46" s="597"/>
      <c r="R46" s="788"/>
      <c r="S46" s="789"/>
      <c r="T46" s="790"/>
      <c r="U46" s="790"/>
      <c r="V46" s="597"/>
      <c r="W46" s="788"/>
      <c r="X46" s="789"/>
      <c r="Y46" s="790"/>
      <c r="Z46" s="790"/>
    </row>
    <row r="47" spans="1:26" ht="68.25" customHeight="1" x14ac:dyDescent="0.25">
      <c r="A47" s="890" t="s">
        <v>203</v>
      </c>
      <c r="B47" s="896" t="s">
        <v>204</v>
      </c>
      <c r="C47" s="895" t="s">
        <v>205</v>
      </c>
      <c r="D47" s="403">
        <v>37</v>
      </c>
      <c r="E47" s="885" t="s">
        <v>67</v>
      </c>
      <c r="F47" s="283" t="s">
        <v>68</v>
      </c>
      <c r="G47" s="431" t="s">
        <v>206</v>
      </c>
      <c r="H47" s="483" t="str">
        <f>IF(VLOOKUP(D47,'Indicateurs - en cours'!$C$106:$J$169,8,FALSE)&lt;&gt;0,VLOOKUP(D47,'Indicateurs - en cours'!$C$106:$J$169,8,FALSE),"")</f>
        <v>Nombre d'actions de sensibilisation réalisées</v>
      </c>
      <c r="I47" s="484" t="s">
        <v>207</v>
      </c>
      <c r="J47" s="55"/>
      <c r="K47" s="894">
        <v>40</v>
      </c>
      <c r="L47" s="690">
        <f>INDEX('Note finale'!$B$5:$AA$26,MATCH($A$47,'Note finale'!$B$5:$B$26,0),MATCH('Axe 3'!$E$47,'Note finale'!$B$4:$AA$4,0))</f>
        <v>9.2250922509225092E-3</v>
      </c>
      <c r="M47" s="793"/>
      <c r="N47" s="779">
        <f t="shared" si="0"/>
        <v>0</v>
      </c>
      <c r="O47" s="691"/>
      <c r="P47" s="794"/>
      <c r="R47" s="809"/>
      <c r="S47" s="779">
        <f t="shared" si="1"/>
        <v>0</v>
      </c>
      <c r="T47" s="691"/>
      <c r="U47" s="794"/>
      <c r="W47" s="809"/>
      <c r="X47" s="779">
        <f t="shared" si="2"/>
        <v>0</v>
      </c>
      <c r="Y47" s="691"/>
      <c r="Z47" s="794"/>
    </row>
    <row r="48" spans="1:26" ht="30" customHeight="1" x14ac:dyDescent="0.25">
      <c r="A48" s="890"/>
      <c r="B48" s="896"/>
      <c r="C48" s="895"/>
      <c r="D48" s="403">
        <v>38</v>
      </c>
      <c r="E48" s="886"/>
      <c r="F48" s="281" t="s">
        <v>68</v>
      </c>
      <c r="G48" s="432" t="s">
        <v>208</v>
      </c>
      <c r="H48" s="87" t="str">
        <f>IF(VLOOKUP(D48,'Indicateurs - en cours'!$C$106:$J$169,8,FALSE)&lt;&gt;0,VLOOKUP(D48,'Indicateurs - en cours'!$C$106:$J$169,8,FALSE),"")</f>
        <v/>
      </c>
      <c r="I48" s="119"/>
      <c r="J48" s="55"/>
      <c r="K48" s="891"/>
      <c r="L48" s="692">
        <f>INDEX('Note finale'!$B$5:$AA$26,MATCH($A$47,'Note finale'!$B$5:$B$26,0),MATCH('Axe 3'!$E$47,'Note finale'!$B$4:$AA$4,0))</f>
        <v>9.2250922509225092E-3</v>
      </c>
      <c r="M48" s="795"/>
      <c r="N48" s="780">
        <f t="shared" si="0"/>
        <v>0</v>
      </c>
      <c r="O48" s="563"/>
      <c r="P48" s="796"/>
      <c r="R48" s="686"/>
      <c r="S48" s="780">
        <f t="shared" si="1"/>
        <v>0</v>
      </c>
      <c r="T48" s="563"/>
      <c r="U48" s="796"/>
      <c r="W48" s="686"/>
      <c r="X48" s="780">
        <f t="shared" si="2"/>
        <v>0</v>
      </c>
      <c r="Y48" s="563"/>
      <c r="Z48" s="796"/>
    </row>
    <row r="49" spans="1:26" ht="41.25" customHeight="1" x14ac:dyDescent="0.25">
      <c r="A49" s="890"/>
      <c r="B49" s="896"/>
      <c r="C49" s="895"/>
      <c r="D49" s="403">
        <v>39</v>
      </c>
      <c r="E49" s="886" t="s">
        <v>73</v>
      </c>
      <c r="F49" s="281" t="s">
        <v>68</v>
      </c>
      <c r="G49" s="432" t="s">
        <v>209</v>
      </c>
      <c r="H49" s="118" t="str">
        <f>IF(VLOOKUP(D49,'Indicateurs - en cours'!$C$106:$J$169,8,FALSE)&lt;&gt;0,VLOOKUP(D49,'Indicateurs - en cours'!$C$106:$J$169,8,FALSE),"")</f>
        <v>Nombre d'opérations collectives (groupe de dirigeants de TPE/PME) et de projets individuels accompagnés</v>
      </c>
      <c r="I49" s="811"/>
      <c r="J49" s="55"/>
      <c r="K49" s="891">
        <v>60</v>
      </c>
      <c r="L49" s="692">
        <f>INDEX('Note finale'!$B$5:$AA$26,MATCH($A$47,'Note finale'!$B$5:$B$26,0),MATCH('Axe 3'!$E$49,'Note finale'!$B$4:$AA$4,0))</f>
        <v>9.2250922509225092E-3</v>
      </c>
      <c r="M49" s="795"/>
      <c r="N49" s="780">
        <f t="shared" si="0"/>
        <v>0</v>
      </c>
      <c r="O49" s="563"/>
      <c r="P49" s="796"/>
      <c r="R49" s="686"/>
      <c r="S49" s="780">
        <f t="shared" si="1"/>
        <v>0</v>
      </c>
      <c r="T49" s="563"/>
      <c r="U49" s="796"/>
      <c r="W49" s="686"/>
      <c r="X49" s="780">
        <f t="shared" si="2"/>
        <v>0</v>
      </c>
      <c r="Y49" s="563"/>
      <c r="Z49" s="796"/>
    </row>
    <row r="50" spans="1:26" ht="89.25" customHeight="1" x14ac:dyDescent="0.25">
      <c r="A50" s="890"/>
      <c r="B50" s="896"/>
      <c r="C50" s="895"/>
      <c r="D50" s="403">
        <v>40</v>
      </c>
      <c r="E50" s="886"/>
      <c r="F50" s="281" t="s">
        <v>68</v>
      </c>
      <c r="G50" s="117" t="s">
        <v>549</v>
      </c>
      <c r="H50" s="118" t="str">
        <f>IF(VLOOKUP(D50,'Indicateurs - en cours'!$C$106:$J$169,8,FALSE)&lt;&gt;0,VLOOKUP(D50,'Indicateurs - en cours'!$C$106:$J$169,8,FALSE),"")</f>
        <v>Nombre de démarches relevant de l'économie de la fonctionnalité mises en place sur le territoire</v>
      </c>
      <c r="I50" s="119" t="s">
        <v>210</v>
      </c>
      <c r="J50" s="55"/>
      <c r="K50" s="891"/>
      <c r="L50" s="692">
        <f>INDEX('Note finale'!$B$5:$AA$26,MATCH($A$47,'Note finale'!$B$5:$B$26,0),MATCH('Axe 3'!$E$49,'Note finale'!$B$4:$AA$4,0))</f>
        <v>9.2250922509225092E-3</v>
      </c>
      <c r="M50" s="795"/>
      <c r="N50" s="780">
        <f t="shared" si="0"/>
        <v>0</v>
      </c>
      <c r="O50" s="563"/>
      <c r="P50" s="796"/>
      <c r="R50" s="686"/>
      <c r="S50" s="780">
        <f t="shared" si="1"/>
        <v>0</v>
      </c>
      <c r="T50" s="563"/>
      <c r="U50" s="796"/>
      <c r="W50" s="686"/>
      <c r="X50" s="780">
        <f t="shared" si="2"/>
        <v>0</v>
      </c>
      <c r="Y50" s="563"/>
      <c r="Z50" s="796"/>
    </row>
    <row r="51" spans="1:26" ht="76.5" customHeight="1" x14ac:dyDescent="0.25">
      <c r="A51" s="890"/>
      <c r="B51" s="896"/>
      <c r="C51" s="895"/>
      <c r="D51" s="403">
        <v>41</v>
      </c>
      <c r="E51" s="893"/>
      <c r="F51" s="282" t="s">
        <v>146</v>
      </c>
      <c r="G51" s="433" t="s">
        <v>211</v>
      </c>
      <c r="H51" s="121" t="str">
        <f>IF(VLOOKUP(D51,'Indicateurs - en cours'!$C$106:$J$169,8,FALSE)&lt;&gt;0,VLOOKUP(D51,'Indicateurs - en cours'!$C$106:$J$169,8,FALSE),"")</f>
        <v>Nombre de partenariats développés avec des acteurs du territoire pour réfléchir sur de nouveaux modèles économiques</v>
      </c>
      <c r="I51" s="493" t="s">
        <v>212</v>
      </c>
      <c r="J51" s="55"/>
      <c r="K51" s="892"/>
      <c r="L51" s="694">
        <f>IF(Préambule!$E$45="Non",0,INDEX('Note finale'!$B$5:$AA$26,MATCH($A$47,'Note finale'!$B$5:$B$26,0),MATCH('Axe 3'!$E$49,'Note finale'!$B$4:$AA$4,0)))</f>
        <v>9.2250922509225092E-3</v>
      </c>
      <c r="M51" s="797"/>
      <c r="N51" s="785">
        <f t="shared" si="0"/>
        <v>0</v>
      </c>
      <c r="O51" s="798"/>
      <c r="P51" s="799"/>
      <c r="R51" s="810"/>
      <c r="S51" s="785">
        <f t="shared" si="1"/>
        <v>0</v>
      </c>
      <c r="T51" s="798"/>
      <c r="U51" s="799"/>
      <c r="W51" s="810"/>
      <c r="X51" s="785">
        <f t="shared" si="2"/>
        <v>0</v>
      </c>
      <c r="Y51" s="798"/>
      <c r="Z51" s="799"/>
    </row>
    <row r="52" spans="1:26" s="244" customFormat="1" ht="7.5" customHeight="1" x14ac:dyDescent="0.25">
      <c r="A52" s="663"/>
      <c r="B52" s="671"/>
      <c r="C52" s="667"/>
      <c r="D52" s="660"/>
      <c r="E52" s="668"/>
      <c r="F52" s="663"/>
      <c r="G52" s="669"/>
      <c r="H52" s="669"/>
      <c r="I52" s="669"/>
      <c r="J52" s="669"/>
      <c r="K52" s="670"/>
      <c r="L52" s="665"/>
      <c r="M52" s="788"/>
      <c r="N52" s="789"/>
      <c r="O52" s="790"/>
      <c r="P52" s="790"/>
      <c r="Q52" s="597"/>
      <c r="R52" s="788"/>
      <c r="S52" s="789"/>
      <c r="T52" s="790"/>
      <c r="U52" s="790"/>
      <c r="V52" s="597"/>
      <c r="W52" s="788"/>
      <c r="X52" s="789"/>
      <c r="Y52" s="790"/>
      <c r="Z52" s="790"/>
    </row>
    <row r="53" spans="1:26" ht="63.75" customHeight="1" x14ac:dyDescent="0.25">
      <c r="A53" s="890" t="s">
        <v>213</v>
      </c>
      <c r="B53" s="896" t="s">
        <v>583</v>
      </c>
      <c r="C53" s="895" t="s">
        <v>214</v>
      </c>
      <c r="D53" s="403">
        <v>42</v>
      </c>
      <c r="E53" s="885" t="s">
        <v>67</v>
      </c>
      <c r="F53" s="283" t="s">
        <v>68</v>
      </c>
      <c r="G53" s="482" t="s">
        <v>586</v>
      </c>
      <c r="H53" s="486" t="str">
        <f>IF(VLOOKUP(D53,'Indicateurs - en cours'!$C$106:$J$169,8,FALSE)&lt;&gt;0,VLOOKUP(D53,'Indicateurs - en cours'!$C$106:$J$169,8,FALSE),"")</f>
        <v/>
      </c>
      <c r="I53" s="484" t="s">
        <v>588</v>
      </c>
      <c r="J53" s="55"/>
      <c r="K53" s="894">
        <v>30</v>
      </c>
      <c r="L53" s="690">
        <f>INDEX('Note finale'!$B$5:$AA$26,MATCH($A$53,'Note finale'!$B$5:$B$26,0),MATCH('Axe 3'!$E$53,'Note finale'!$B$4:$AA$4,0))</f>
        <v>6.9188191881918819E-3</v>
      </c>
      <c r="M53" s="793"/>
      <c r="N53" s="779">
        <f t="shared" si="0"/>
        <v>0</v>
      </c>
      <c r="O53" s="691"/>
      <c r="P53" s="794"/>
      <c r="R53" s="809"/>
      <c r="S53" s="779">
        <f t="shared" si="1"/>
        <v>0</v>
      </c>
      <c r="T53" s="691"/>
      <c r="U53" s="794"/>
      <c r="W53" s="809"/>
      <c r="X53" s="779">
        <f t="shared" si="2"/>
        <v>0</v>
      </c>
      <c r="Y53" s="691"/>
      <c r="Z53" s="794"/>
    </row>
    <row r="54" spans="1:26" ht="51" customHeight="1" x14ac:dyDescent="0.25">
      <c r="A54" s="890"/>
      <c r="B54" s="896"/>
      <c r="C54" s="895"/>
      <c r="D54" s="403">
        <v>43</v>
      </c>
      <c r="E54" s="886"/>
      <c r="F54" s="281" t="s">
        <v>68</v>
      </c>
      <c r="G54" s="432" t="s">
        <v>585</v>
      </c>
      <c r="H54" s="488" t="str">
        <f>IF(VLOOKUP(D54,'Indicateurs - en cours'!$C$106:$J$169,8,FALSE)&lt;&gt;0,VLOOKUP(D54,'Indicateurs - en cours'!$C$106:$J$169,8,FALSE),"")</f>
        <v>Nombre et type de moyens (hors budgétaire) alloués à des projets d'innovation sur l'économie circulaire</v>
      </c>
      <c r="I54" s="478" t="s">
        <v>587</v>
      </c>
      <c r="J54" s="55"/>
      <c r="K54" s="891"/>
      <c r="L54" s="692">
        <f>INDEX('Note finale'!$B$5:$AA$26,MATCH($A$53,'Note finale'!$B$5:$B$26,0),MATCH('Axe 3'!$E$53,'Note finale'!$B$4:$AA$4,0))</f>
        <v>6.9188191881918819E-3</v>
      </c>
      <c r="M54" s="795"/>
      <c r="N54" s="780">
        <f t="shared" si="0"/>
        <v>0</v>
      </c>
      <c r="O54" s="563"/>
      <c r="P54" s="796"/>
      <c r="R54" s="686"/>
      <c r="S54" s="780">
        <f t="shared" si="1"/>
        <v>0</v>
      </c>
      <c r="T54" s="563"/>
      <c r="U54" s="796"/>
      <c r="W54" s="686"/>
      <c r="X54" s="780">
        <f t="shared" si="2"/>
        <v>0</v>
      </c>
      <c r="Y54" s="563"/>
      <c r="Z54" s="796"/>
    </row>
    <row r="55" spans="1:26" ht="54" customHeight="1" x14ac:dyDescent="0.25">
      <c r="A55" s="890"/>
      <c r="B55" s="896"/>
      <c r="C55" s="895"/>
      <c r="D55" s="403">
        <v>44</v>
      </c>
      <c r="E55" s="886" t="s">
        <v>73</v>
      </c>
      <c r="F55" s="281" t="s">
        <v>68</v>
      </c>
      <c r="G55" s="432" t="s">
        <v>593</v>
      </c>
      <c r="H55" s="488" t="str">
        <f>IF(VLOOKUP(D55,'Indicateurs - en cours'!$C$106:$J$169,8,FALSE)&lt;&gt;0,VLOOKUP(D55,'Indicateurs - en cours'!$C$106:$J$169,8,FALSE),"")</f>
        <v>Nombre d'évènements organisés en collaboration avec la communauté de l'entrepreneuriat social</v>
      </c>
      <c r="I55" s="478" t="s">
        <v>215</v>
      </c>
      <c r="J55" s="55"/>
      <c r="K55" s="891">
        <v>70</v>
      </c>
      <c r="L55" s="692">
        <f>INDEX('Note finale'!$B$5:$AA$26,MATCH($A$53,'Note finale'!$B$5:$B$26,0),MATCH('Axe 3'!$E$55,'Note finale'!$B$4:$AA$4,0))</f>
        <v>1.6143911439114391E-2</v>
      </c>
      <c r="M55" s="795"/>
      <c r="N55" s="780">
        <f t="shared" si="0"/>
        <v>0</v>
      </c>
      <c r="O55" s="563"/>
      <c r="P55" s="796"/>
      <c r="R55" s="686"/>
      <c r="S55" s="780">
        <f t="shared" si="1"/>
        <v>0</v>
      </c>
      <c r="T55" s="563"/>
      <c r="U55" s="796"/>
      <c r="W55" s="686"/>
      <c r="X55" s="780">
        <f t="shared" si="2"/>
        <v>0</v>
      </c>
      <c r="Y55" s="563"/>
      <c r="Z55" s="796"/>
    </row>
    <row r="56" spans="1:26" ht="63.75" customHeight="1" x14ac:dyDescent="0.25">
      <c r="A56" s="890"/>
      <c r="B56" s="896"/>
      <c r="C56" s="895"/>
      <c r="D56" s="403">
        <v>45</v>
      </c>
      <c r="E56" s="893"/>
      <c r="F56" s="282" t="s">
        <v>68</v>
      </c>
      <c r="G56" s="433" t="s">
        <v>592</v>
      </c>
      <c r="H56" s="491" t="str">
        <f>IF(VLOOKUP(D56,'Indicateurs - en cours'!$C$106:$J$169,8,FALSE)&lt;&gt;0,VLOOKUP(D56,'Indicateurs - en cours'!$C$106:$J$169,8,FALSE),"")</f>
        <v>Nombre de projets d'innovation sur l'économie circulaire porté par la collectivité</v>
      </c>
      <c r="I56" s="493" t="s">
        <v>584</v>
      </c>
      <c r="J56" s="55"/>
      <c r="K56" s="892"/>
      <c r="L56" s="694">
        <f>INDEX('Note finale'!$B$5:$AA$26,MATCH($A$53,'Note finale'!$B$5:$B$26,0),MATCH('Axe 3'!$E$55,'Note finale'!$B$4:$AA$4,0))</f>
        <v>1.6143911439114391E-2</v>
      </c>
      <c r="M56" s="797"/>
      <c r="N56" s="785">
        <f t="shared" si="0"/>
        <v>0</v>
      </c>
      <c r="O56" s="798"/>
      <c r="P56" s="799"/>
      <c r="R56" s="810"/>
      <c r="S56" s="785">
        <f t="shared" si="1"/>
        <v>0</v>
      </c>
      <c r="T56" s="798"/>
      <c r="U56" s="799"/>
      <c r="W56" s="810"/>
      <c r="X56" s="785">
        <f t="shared" si="2"/>
        <v>0</v>
      </c>
      <c r="Y56" s="798"/>
      <c r="Z56" s="799"/>
    </row>
    <row r="57" spans="1:26" x14ac:dyDescent="0.25">
      <c r="E57" s="298"/>
      <c r="F57" s="1"/>
      <c r="G57" s="1"/>
      <c r="I57" s="1"/>
      <c r="J57" s="1"/>
      <c r="K57" s="1"/>
      <c r="L57" s="1"/>
    </row>
  </sheetData>
  <sheetProtection algorithmName="SHA-512" hashValue="7rb+PQpoQZxIfy7bAzYrYsmSraRGfUgOolmPN1sJnjo4txNgEg6sgxto5EucRJgrLgX6O4Eagoy/C/4zYVBAEA==" saltValue="LkORI2tS3i4lWZdFC5Gppg==" spinCount="100000" sheet="1" selectLockedCells="1"/>
  <mergeCells count="50">
    <mergeCell ref="A28:A31"/>
    <mergeCell ref="C10:C26"/>
    <mergeCell ref="A38:A45"/>
    <mergeCell ref="A10:A26"/>
    <mergeCell ref="B10:B26"/>
    <mergeCell ref="A33:A36"/>
    <mergeCell ref="B33:B36"/>
    <mergeCell ref="B28:B31"/>
    <mergeCell ref="C33:C36"/>
    <mergeCell ref="B38:B45"/>
    <mergeCell ref="C38:C45"/>
    <mergeCell ref="C47:C51"/>
    <mergeCell ref="K55:K56"/>
    <mergeCell ref="K53:K54"/>
    <mergeCell ref="C28:C31"/>
    <mergeCell ref="K41:K44"/>
    <mergeCell ref="K29:K30"/>
    <mergeCell ref="E29:E30"/>
    <mergeCell ref="A47:A51"/>
    <mergeCell ref="A53:A56"/>
    <mergeCell ref="E38:E40"/>
    <mergeCell ref="K34:K36"/>
    <mergeCell ref="E34:E36"/>
    <mergeCell ref="E55:E56"/>
    <mergeCell ref="E47:E48"/>
    <mergeCell ref="E49:E51"/>
    <mergeCell ref="E41:E44"/>
    <mergeCell ref="E53:E54"/>
    <mergeCell ref="K38:K40"/>
    <mergeCell ref="K47:K48"/>
    <mergeCell ref="K49:K51"/>
    <mergeCell ref="C53:C56"/>
    <mergeCell ref="B47:B51"/>
    <mergeCell ref="B53:B56"/>
    <mergeCell ref="E10:E17"/>
    <mergeCell ref="K10:K17"/>
    <mergeCell ref="E18:E25"/>
    <mergeCell ref="K18:K25"/>
    <mergeCell ref="C6:C8"/>
    <mergeCell ref="B6:B8"/>
    <mergeCell ref="A6:A8"/>
    <mergeCell ref="E6:E7"/>
    <mergeCell ref="K6:K7"/>
    <mergeCell ref="R3:U3"/>
    <mergeCell ref="W3:Z3"/>
    <mergeCell ref="M3:P3"/>
    <mergeCell ref="A1:O1"/>
    <mergeCell ref="E3:I3"/>
    <mergeCell ref="C3:C4"/>
    <mergeCell ref="B3:B4"/>
  </mergeCells>
  <conditionalFormatting sqref="L6:L8 L10:L26 L28:L31 L33:L36 L38:L45 L47:L51 L53:L56">
    <cfRule type="cellIs" dxfId="16" priority="31" operator="greaterThan">
      <formula>0.01</formula>
    </cfRule>
  </conditionalFormatting>
  <pageMargins left="0.23622047244094491" right="0.23622047244094491" top="0.74803149606299213" bottom="0.74803149606299213" header="0.31496062992125984" footer="0.31496062992125984"/>
  <pageSetup paperSize="8" scale="64"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5" id="{8E2B30A6-E001-43D1-BD03-E7F99718BAB8}">
            <xm:f>Préambule!$E$59="Non"</xm:f>
            <x14:dxf>
              <fill>
                <patternFill patternType="lightUp">
                  <fgColor theme="0" tint="-0.499984740745262"/>
                </patternFill>
              </fill>
            </x14:dxf>
          </x14:cfRule>
          <xm:sqref>F14:Z14</xm:sqref>
        </x14:conditionalFormatting>
        <x14:conditionalFormatting xmlns:xm="http://schemas.microsoft.com/office/excel/2006/main">
          <x14:cfRule type="expression" priority="4" id="{3E2FFFC8-158E-43CD-BF02-A4A63939500C}">
            <xm:f>Préambule!$E$61="Non"</xm:f>
            <x14:dxf>
              <fill>
                <patternFill patternType="lightUp">
                  <fgColor theme="0" tint="-0.499984740745262"/>
                </patternFill>
              </fill>
            </x14:dxf>
          </x14:cfRule>
          <xm:sqref>F15:Z15</xm:sqref>
        </x14:conditionalFormatting>
        <x14:conditionalFormatting xmlns:xm="http://schemas.microsoft.com/office/excel/2006/main">
          <x14:cfRule type="expression" priority="3" id="{1A5A893D-9DDB-4F8C-9F43-F8A05A4D1FC6}">
            <xm:f>Préambule!$E$45="Non"</xm:f>
            <x14:dxf>
              <fill>
                <patternFill patternType="lightUp">
                  <fgColor theme="0" tint="-0.499984740745262"/>
                </patternFill>
              </fill>
            </x14:dxf>
          </x14:cfRule>
          <xm:sqref>F17:Z17 F22:Z22 F36:Z36 F51:Z51</xm:sqref>
        </x14:conditionalFormatting>
        <x14:conditionalFormatting xmlns:xm="http://schemas.microsoft.com/office/excel/2006/main">
          <x14:cfRule type="expression" priority="2" id="{9D419875-4151-416C-A1F7-236B6F42FDEC}">
            <xm:f>Préambule!$E$43="Oui"</xm:f>
            <x14:dxf>
              <fill>
                <patternFill patternType="lightUp">
                  <fgColor theme="0" tint="-0.499984740745262"/>
                </patternFill>
              </fill>
            </x14:dxf>
          </x14:cfRule>
          <xm:sqref>F33:J35 L33:Z35 F41:J42 L41:Z42</xm:sqref>
        </x14:conditionalFormatting>
        <x14:conditionalFormatting xmlns:xm="http://schemas.microsoft.com/office/excel/2006/main">
          <x14:cfRule type="expression" priority="1" id="{85598D3D-F758-437C-8242-AD6A50753DAE}">
            <xm:f>Préambule!$E$63="Non"</xm:f>
            <x14:dxf>
              <fill>
                <patternFill patternType="lightUp">
                  <fgColor theme="0" tint="-0.499984740745262"/>
                </patternFill>
              </fill>
            </x14:dxf>
          </x14:cfRule>
          <xm:sqref>F36:Z36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AA25"/>
  <sheetViews>
    <sheetView showGridLines="0" zoomScale="80" workbookViewId="0">
      <selection activeCell="M6" sqref="M6"/>
    </sheetView>
  </sheetViews>
  <sheetFormatPr baseColWidth="10" defaultColWidth="11.42578125" defaultRowHeight="15" x14ac:dyDescent="0.25"/>
  <cols>
    <col min="1" max="1" width="6" customWidth="1"/>
    <col min="2" max="2" width="24.28515625" customWidth="1"/>
    <col min="3" max="3" width="38.85546875" customWidth="1"/>
    <col min="4" max="4" width="3.5703125" style="404" customWidth="1"/>
    <col min="5" max="5" width="10" style="45" bestFit="1" customWidth="1"/>
    <col min="6" max="6" width="13" style="45" customWidth="1"/>
    <col min="7" max="7" width="74.28515625" customWidth="1"/>
    <col min="8" max="8" width="44" customWidth="1"/>
    <col min="9" max="9" width="36.85546875" customWidth="1"/>
    <col min="10" max="10" width="3.5703125" customWidth="1"/>
    <col min="11" max="11" width="12" customWidth="1"/>
    <col min="12" max="12" width="12" hidden="1" customWidth="1"/>
    <col min="13" max="13" width="13.7109375" style="1" customWidth="1"/>
    <col min="14" max="14" width="17.7109375" style="50" hidden="1" customWidth="1"/>
    <col min="15" max="15" width="37.140625" style="1" customWidth="1"/>
    <col min="16" max="16" width="13.7109375" style="1" customWidth="1"/>
    <col min="17" max="17" width="3" style="1" customWidth="1"/>
    <col min="18" max="18" width="13.7109375" style="1" customWidth="1"/>
    <col min="19" max="19" width="17.7109375" style="50" hidden="1" customWidth="1"/>
    <col min="20" max="20" width="37.140625" style="1" customWidth="1"/>
    <col min="21" max="21" width="13.7109375" style="1" customWidth="1"/>
    <col min="22" max="22" width="3" style="1" customWidth="1"/>
    <col min="23" max="23" width="13.7109375" style="1" customWidth="1"/>
    <col min="24" max="24" width="17.7109375" style="50" hidden="1" customWidth="1"/>
    <col min="25" max="25" width="37.140625" style="1" customWidth="1"/>
    <col min="26" max="26" width="13.7109375" style="1" customWidth="1"/>
  </cols>
  <sheetData>
    <row r="1" spans="1:27" ht="18.75" x14ac:dyDescent="0.25">
      <c r="A1" s="841" t="s">
        <v>887</v>
      </c>
      <c r="B1" s="841"/>
      <c r="C1" s="841"/>
      <c r="D1" s="841"/>
      <c r="E1" s="841"/>
      <c r="F1" s="841"/>
      <c r="G1" s="841"/>
      <c r="H1" s="841"/>
      <c r="I1" s="841"/>
      <c r="J1" s="841"/>
      <c r="K1" s="841"/>
      <c r="L1" s="841"/>
      <c r="M1" s="841"/>
      <c r="N1" s="841"/>
      <c r="O1" s="841"/>
      <c r="P1" s="526"/>
      <c r="Q1" s="526"/>
      <c r="R1" s="526"/>
      <c r="S1" s="526"/>
      <c r="T1" s="526"/>
      <c r="U1" s="526"/>
      <c r="V1" s="526"/>
      <c r="W1" s="526"/>
      <c r="X1" s="526"/>
      <c r="Y1" s="526"/>
      <c r="Z1" s="526"/>
    </row>
    <row r="3" spans="1:27" ht="29.25" customHeight="1" x14ac:dyDescent="0.25">
      <c r="B3" s="839" t="s">
        <v>59</v>
      </c>
      <c r="C3" s="839" t="s">
        <v>60</v>
      </c>
      <c r="D3" s="395"/>
      <c r="E3" s="835" t="s">
        <v>889</v>
      </c>
      <c r="F3" s="835"/>
      <c r="G3" s="835"/>
      <c r="H3" s="835"/>
      <c r="I3" s="835"/>
      <c r="L3" s="525"/>
      <c r="M3" s="835" t="s">
        <v>920</v>
      </c>
      <c r="N3" s="835"/>
      <c r="O3" s="835"/>
      <c r="P3" s="835"/>
      <c r="R3" s="835" t="s">
        <v>921</v>
      </c>
      <c r="S3" s="835"/>
      <c r="T3" s="835"/>
      <c r="U3" s="835"/>
      <c r="W3" s="835" t="s">
        <v>924</v>
      </c>
      <c r="X3" s="835"/>
      <c r="Y3" s="835"/>
      <c r="Z3" s="835"/>
    </row>
    <row r="4" spans="1:27" ht="51" x14ac:dyDescent="0.25">
      <c r="B4" s="839"/>
      <c r="C4" s="839"/>
      <c r="D4" s="395"/>
      <c r="E4" s="98" t="s">
        <v>902</v>
      </c>
      <c r="F4" s="98" t="s">
        <v>61</v>
      </c>
      <c r="G4" s="76" t="s">
        <v>62</v>
      </c>
      <c r="H4" s="76" t="s">
        <v>63</v>
      </c>
      <c r="I4" s="76" t="s">
        <v>916</v>
      </c>
      <c r="K4" s="75" t="s">
        <v>915</v>
      </c>
      <c r="L4" s="75" t="s">
        <v>673</v>
      </c>
      <c r="M4" s="424" t="s">
        <v>918</v>
      </c>
      <c r="N4" s="75" t="s">
        <v>896</v>
      </c>
      <c r="O4" s="75" t="s">
        <v>917</v>
      </c>
      <c r="P4" s="424" t="s">
        <v>919</v>
      </c>
      <c r="R4" s="424" t="s">
        <v>922</v>
      </c>
      <c r="S4" s="75" t="s">
        <v>896</v>
      </c>
      <c r="T4" s="75" t="s">
        <v>917</v>
      </c>
      <c r="U4" s="424" t="s">
        <v>923</v>
      </c>
      <c r="W4" s="424" t="s">
        <v>925</v>
      </c>
      <c r="X4" s="75" t="s">
        <v>896</v>
      </c>
      <c r="Y4" s="75" t="s">
        <v>917</v>
      </c>
      <c r="Z4" s="424" t="s">
        <v>926</v>
      </c>
    </row>
    <row r="5" spans="1:27" ht="7.5" customHeight="1" x14ac:dyDescent="0.25">
      <c r="M5" s="3"/>
      <c r="P5" s="3"/>
      <c r="R5" s="3"/>
      <c r="U5" s="3"/>
      <c r="W5" s="3"/>
      <c r="Z5" s="3"/>
    </row>
    <row r="6" spans="1:27" ht="59.25" customHeight="1" x14ac:dyDescent="0.25">
      <c r="A6" s="843" t="s">
        <v>283</v>
      </c>
      <c r="B6" s="840" t="s">
        <v>300</v>
      </c>
      <c r="C6" s="849" t="s">
        <v>556</v>
      </c>
      <c r="D6" s="396">
        <v>1</v>
      </c>
      <c r="E6" s="494" t="s">
        <v>67</v>
      </c>
      <c r="F6" s="146" t="s">
        <v>68</v>
      </c>
      <c r="G6" s="59" t="s">
        <v>301</v>
      </c>
      <c r="H6" s="95" t="str">
        <f>IF(VLOOKUP(D6,'Indicateurs - en cours'!$C$152:$J$169,8,FALSE)&lt;&gt;0,VLOOKUP(D6,'Indicateurs - en cours'!$C$152:$J$169,8,FALSE),"")</f>
        <v>Les coûts complets et coûts aidés pour l'ensemble des flux, par flux et par étape technique, sont disponibles</v>
      </c>
      <c r="I6" s="260" t="s">
        <v>611</v>
      </c>
      <c r="K6" s="519">
        <v>10</v>
      </c>
      <c r="L6" s="435">
        <f>INDEX('Note finale'!$B$5:$AA$26,MATCH($A$6,'Note finale'!$B$5:$B$26,0),MATCH('Axe 4'!$E$6,'Note finale'!$B$4:$AA$4,0))</f>
        <v>4.6125461254612546E-3</v>
      </c>
      <c r="M6" s="598"/>
      <c r="N6" s="599">
        <f>L6*M6</f>
        <v>0</v>
      </c>
      <c r="O6" s="600"/>
      <c r="P6" s="601"/>
      <c r="R6" s="612"/>
      <c r="S6" s="599">
        <f>L6*R6</f>
        <v>0</v>
      </c>
      <c r="T6" s="600"/>
      <c r="U6" s="601"/>
      <c r="W6" s="612"/>
      <c r="X6" s="599">
        <f>L6*W6</f>
        <v>0</v>
      </c>
      <c r="Y6" s="600"/>
      <c r="Z6" s="601"/>
    </row>
    <row r="7" spans="1:27" ht="69.75" customHeight="1" x14ac:dyDescent="0.25">
      <c r="A7" s="843"/>
      <c r="B7" s="840"/>
      <c r="C7" s="849"/>
      <c r="D7" s="396">
        <v>2</v>
      </c>
      <c r="E7" s="899" t="s">
        <v>73</v>
      </c>
      <c r="F7" s="147"/>
      <c r="G7" s="67" t="s">
        <v>391</v>
      </c>
      <c r="H7" s="284" t="str">
        <f>IF(VLOOKUP(D7,'Indicateurs - en cours'!$C$152:$J$169,8,FALSE)&lt;&gt;0,VLOOKUP(D7,'Indicateurs - en cours'!$C$152:$J$169,8,FALSE),"")</f>
        <v xml:space="preserve">Taux de bâtiment construit ou rénové ayant une étude coût complet </v>
      </c>
      <c r="I7" s="249" t="s">
        <v>392</v>
      </c>
      <c r="K7" s="898">
        <v>60</v>
      </c>
      <c r="L7" s="436">
        <f>INDEX('Note finale'!$B$5:$AA$26,MATCH($A$6,'Note finale'!$B$5:$B$26,0),MATCH('Axe 4'!$E$7,'Note finale'!$B$4:$AA$4,0))</f>
        <v>6.9188191881918819E-3</v>
      </c>
      <c r="M7" s="602"/>
      <c r="N7" s="603">
        <f t="shared" ref="N7:N16" si="0">L7*M7</f>
        <v>0</v>
      </c>
      <c r="O7" s="604"/>
      <c r="P7" s="605"/>
      <c r="R7" s="613"/>
      <c r="S7" s="603">
        <f t="shared" ref="S7:S25" si="1">L7*R7</f>
        <v>0</v>
      </c>
      <c r="T7" s="604"/>
      <c r="U7" s="605"/>
      <c r="W7" s="613"/>
      <c r="X7" s="603">
        <f t="shared" ref="X7:X25" si="2">L7*W7</f>
        <v>0</v>
      </c>
      <c r="Y7" s="604"/>
      <c r="Z7" s="605"/>
    </row>
    <row r="8" spans="1:27" ht="60.75" customHeight="1" x14ac:dyDescent="0.25">
      <c r="A8" s="843"/>
      <c r="B8" s="840"/>
      <c r="C8" s="849"/>
      <c r="D8" s="396">
        <v>3</v>
      </c>
      <c r="E8" s="899"/>
      <c r="F8" s="147" t="s">
        <v>68</v>
      </c>
      <c r="G8" s="61" t="s">
        <v>302</v>
      </c>
      <c r="H8" s="68" t="str">
        <f>IF(VLOOKUP(D8,'Indicateurs - en cours'!$C$152:$J$169,8,FALSE)&lt;&gt;0,VLOOKUP(D8,'Indicateurs - en cours'!$C$152:$J$169,8,FALSE),"")</f>
        <v>Présence et complétude d'une matrice des coûts</v>
      </c>
      <c r="I8" s="272" t="s">
        <v>566</v>
      </c>
      <c r="K8" s="898"/>
      <c r="L8" s="436">
        <f>INDEX('Note finale'!$B$5:$AA$26,MATCH($A$6,'Note finale'!$B$5:$B$26,0),MATCH('Axe 4'!$E$7,'Note finale'!$B$4:$AA$4,0))</f>
        <v>6.9188191881918819E-3</v>
      </c>
      <c r="M8" s="602"/>
      <c r="N8" s="603">
        <f t="shared" si="0"/>
        <v>0</v>
      </c>
      <c r="O8" s="604"/>
      <c r="P8" s="605"/>
      <c r="R8" s="613"/>
      <c r="S8" s="603">
        <f t="shared" si="1"/>
        <v>0</v>
      </c>
      <c r="T8" s="604"/>
      <c r="U8" s="605"/>
      <c r="W8" s="613"/>
      <c r="X8" s="603">
        <f t="shared" si="2"/>
        <v>0</v>
      </c>
      <c r="Y8" s="604"/>
      <c r="Z8" s="605"/>
    </row>
    <row r="9" spans="1:27" ht="38.25" x14ac:dyDescent="0.25">
      <c r="A9" s="843"/>
      <c r="B9" s="840"/>
      <c r="C9" s="849"/>
      <c r="D9" s="396">
        <v>4</v>
      </c>
      <c r="E9" s="899"/>
      <c r="F9" s="147" t="s">
        <v>68</v>
      </c>
      <c r="G9" s="61" t="s">
        <v>612</v>
      </c>
      <c r="H9" s="62" t="str">
        <f>IF(VLOOKUP(D9,'Indicateurs - en cours'!$C$152:$J$169,8,FALSE)&lt;&gt;0,VLOOKUP(D9,'Indicateurs - en cours'!$C$152:$J$169,8,FALSE),"")</f>
        <v/>
      </c>
      <c r="I9" s="79"/>
      <c r="K9" s="898"/>
      <c r="L9" s="436">
        <f>INDEX('Note finale'!$B$5:$AA$26,MATCH($A$6,'Note finale'!$B$5:$B$26,0),MATCH('Axe 4'!$E$7,'Note finale'!$B$4:$AA$4,0))</f>
        <v>6.9188191881918819E-3</v>
      </c>
      <c r="M9" s="602"/>
      <c r="N9" s="699">
        <f t="shared" si="0"/>
        <v>0</v>
      </c>
      <c r="O9" s="606"/>
      <c r="P9" s="605"/>
      <c r="Q9" s="637"/>
      <c r="R9" s="613"/>
      <c r="S9" s="699">
        <f t="shared" si="1"/>
        <v>0</v>
      </c>
      <c r="T9" s="606"/>
      <c r="U9" s="605"/>
      <c r="V9" s="637"/>
      <c r="W9" s="613"/>
      <c r="X9" s="699">
        <f t="shared" si="2"/>
        <v>0</v>
      </c>
      <c r="Y9" s="606"/>
      <c r="Z9" s="605"/>
    </row>
    <row r="10" spans="1:27" ht="51" x14ac:dyDescent="0.25">
      <c r="A10" s="843"/>
      <c r="B10" s="840"/>
      <c r="C10" s="849"/>
      <c r="D10" s="396">
        <v>5</v>
      </c>
      <c r="E10" s="899"/>
      <c r="F10" s="147" t="s">
        <v>68</v>
      </c>
      <c r="G10" s="61" t="s">
        <v>303</v>
      </c>
      <c r="H10" s="62" t="str">
        <f>IF(VLOOKUP(D10,'Indicateurs - en cours'!$C$152:$J$169,8,FALSE)&lt;&gt;0,VLOOKUP(D10,'Indicateurs - en cours'!$C$152:$J$169,8,FALSE),"")</f>
        <v>Evolution des coûts suite à la mise en place de ces actions</v>
      </c>
      <c r="I10" s="79" t="s">
        <v>304</v>
      </c>
      <c r="K10" s="898"/>
      <c r="L10" s="436">
        <f>INDEX('Note finale'!$B$5:$AA$26,MATCH($A$6,'Note finale'!$B$5:$B$26,0),MATCH('Axe 4'!$E$7,'Note finale'!$B$4:$AA$4,0))</f>
        <v>6.9188191881918819E-3</v>
      </c>
      <c r="M10" s="602"/>
      <c r="N10" s="603">
        <f t="shared" si="0"/>
        <v>0</v>
      </c>
      <c r="O10" s="607"/>
      <c r="P10" s="605"/>
      <c r="R10" s="613"/>
      <c r="S10" s="603">
        <f t="shared" si="1"/>
        <v>0</v>
      </c>
      <c r="T10" s="607"/>
      <c r="U10" s="605"/>
      <c r="W10" s="613"/>
      <c r="X10" s="603">
        <f t="shared" si="2"/>
        <v>0</v>
      </c>
      <c r="Y10" s="607"/>
      <c r="Z10" s="605"/>
    </row>
    <row r="11" spans="1:27" ht="51" x14ac:dyDescent="0.25">
      <c r="A11" s="843"/>
      <c r="B11" s="840"/>
      <c r="C11" s="849"/>
      <c r="D11" s="396">
        <v>6</v>
      </c>
      <c r="E11" s="495" t="s">
        <v>75</v>
      </c>
      <c r="F11" s="148" t="s">
        <v>68</v>
      </c>
      <c r="G11" s="63" t="s">
        <v>305</v>
      </c>
      <c r="H11" s="60" t="str">
        <f>IF(VLOOKUP(D11,'Indicateurs - en cours'!$C$152:$J$169,8,FALSE)&lt;&gt;0,VLOOKUP(D11,'Indicateurs - en cours'!$C$152:$J$169,8,FALSE),"")</f>
        <v>La collectivité suit les indicateurs et coûts développés dans le "Référentiel national des coûts du service public de prévention et de gestion des déchets" (ADEME)</v>
      </c>
      <c r="I11" s="80"/>
      <c r="K11" s="280">
        <v>30</v>
      </c>
      <c r="L11" s="437">
        <f>INDEX('Note finale'!$B$5:$AA$26,MATCH($A$6,'Note finale'!$B$5:$B$26,0),MATCH('Axe 4'!$E$11,'Note finale'!$B$4:$AA$4,0))</f>
        <v>1.3837638376383764E-2</v>
      </c>
      <c r="M11" s="608"/>
      <c r="N11" s="609">
        <f t="shared" si="0"/>
        <v>0</v>
      </c>
      <c r="O11" s="610"/>
      <c r="P11" s="611"/>
      <c r="R11" s="614"/>
      <c r="S11" s="609">
        <f t="shared" si="1"/>
        <v>0</v>
      </c>
      <c r="T11" s="610"/>
      <c r="U11" s="611"/>
      <c r="W11" s="614"/>
      <c r="X11" s="609">
        <f t="shared" si="2"/>
        <v>0</v>
      </c>
      <c r="Y11" s="610"/>
      <c r="Z11" s="611"/>
    </row>
    <row r="12" spans="1:27" s="244" customFormat="1" ht="7.5" customHeight="1" x14ac:dyDescent="0.25">
      <c r="A12" s="594"/>
      <c r="B12" s="698"/>
      <c r="C12" s="595"/>
      <c r="D12" s="593"/>
      <c r="E12" s="590"/>
      <c r="F12" s="594"/>
      <c r="G12" s="592"/>
      <c r="H12" s="592"/>
      <c r="I12" s="592"/>
      <c r="K12" s="710"/>
      <c r="L12" s="708"/>
      <c r="M12" s="696"/>
      <c r="N12" s="639"/>
      <c r="O12" s="711"/>
      <c r="P12" s="696"/>
      <c r="Q12" s="637"/>
      <c r="R12" s="696"/>
      <c r="S12" s="639"/>
      <c r="T12" s="711"/>
      <c r="U12" s="696"/>
      <c r="V12" s="637"/>
      <c r="W12" s="696"/>
      <c r="X12" s="639"/>
      <c r="Y12" s="711"/>
      <c r="Z12" s="696"/>
      <c r="AA12" s="394"/>
    </row>
    <row r="13" spans="1:27" ht="51" x14ac:dyDescent="0.25">
      <c r="A13" s="843" t="s">
        <v>299</v>
      </c>
      <c r="B13" s="840" t="s">
        <v>307</v>
      </c>
      <c r="C13" s="836" t="s">
        <v>308</v>
      </c>
      <c r="D13" s="396">
        <v>7</v>
      </c>
      <c r="E13" s="494" t="s">
        <v>67</v>
      </c>
      <c r="F13" s="146" t="s">
        <v>68</v>
      </c>
      <c r="G13" s="59" t="s">
        <v>309</v>
      </c>
      <c r="H13" s="95" t="str">
        <f>IF(VLOOKUP(D13,'Indicateurs - en cours'!$C$152:$J$169,8,FALSE)&lt;&gt;0,VLOOKUP(D13,'Indicateurs - en cours'!$C$152:$J$169,8,FALSE),"")</f>
        <v>Un document d'étude de la mise en place d'un système de tarification incitative (y compris redevance spéciale en cas de TEOM incitative) sur l'ensemble du territoire est disponible</v>
      </c>
      <c r="I13" s="96"/>
      <c r="K13" s="519">
        <v>30</v>
      </c>
      <c r="L13" s="435">
        <f>INDEX('Note finale'!$B$5:$AA$26,MATCH($A$13,'Note finale'!$B$5:$B$26,0),MATCH('Axe 4'!$E$13,'Note finale'!$B$4:$AA$4,0))</f>
        <v>1.6605166051660517E-2</v>
      </c>
      <c r="M13" s="598"/>
      <c r="N13" s="599">
        <f t="shared" si="0"/>
        <v>0</v>
      </c>
      <c r="O13" s="619"/>
      <c r="P13" s="601"/>
      <c r="R13" s="612"/>
      <c r="S13" s="599">
        <f t="shared" si="1"/>
        <v>0</v>
      </c>
      <c r="T13" s="619"/>
      <c r="U13" s="601"/>
      <c r="W13" s="612"/>
      <c r="X13" s="599">
        <f t="shared" si="2"/>
        <v>0</v>
      </c>
      <c r="Y13" s="619"/>
      <c r="Z13" s="601"/>
    </row>
    <row r="14" spans="1:27" ht="213" customHeight="1" x14ac:dyDescent="0.25">
      <c r="A14" s="843"/>
      <c r="B14" s="840"/>
      <c r="C14" s="836"/>
      <c r="D14" s="396">
        <v>8</v>
      </c>
      <c r="E14" s="899" t="s">
        <v>73</v>
      </c>
      <c r="F14" s="147" t="s">
        <v>68</v>
      </c>
      <c r="G14" s="61" t="s">
        <v>310</v>
      </c>
      <c r="H14" s="61" t="str">
        <f>IF(VLOOKUP(D14,'Indicateurs - en cours'!$C$152:$J$169,8,FALSE)&lt;&gt;0,VLOOKUP(D14,'Indicateurs - en cours'!$C$152:$J$169,8,FALSE),"")</f>
        <v>part de la population concernée par une TI (en cas de phasage temporel)
en cas de RI : 
- nombre/part d'usagers ménages en maison
- nombre/part d'usagers ménages en appartement (facturés individuellement)
- nombre/part d'usagers collectifs (facturation à l'immeuble)
- nombre/part d'usagers professionnels
en cas de TEOMi :
- seuil de RS
- nombre/part de professionnels facturés en RS 
- nombre/part de professionnels non usagers exonérés de TEOM</v>
      </c>
      <c r="I14" s="79" t="s">
        <v>312</v>
      </c>
      <c r="K14" s="898">
        <v>60</v>
      </c>
      <c r="L14" s="436">
        <f>INDEX('Note finale'!$B$5:$AA$26,MATCH($A$13,'Note finale'!$B$5:$B$26,0),MATCH('Axe 4'!$E$14,'Note finale'!$B$4:$AA$4,0))</f>
        <v>1.6605166051660517E-2</v>
      </c>
      <c r="M14" s="602"/>
      <c r="N14" s="603">
        <f t="shared" si="0"/>
        <v>0</v>
      </c>
      <c r="O14" s="606"/>
      <c r="P14" s="605"/>
      <c r="R14" s="613"/>
      <c r="S14" s="603">
        <f t="shared" si="1"/>
        <v>0</v>
      </c>
      <c r="T14" s="606"/>
      <c r="U14" s="605"/>
      <c r="W14" s="613"/>
      <c r="X14" s="603">
        <f t="shared" si="2"/>
        <v>0</v>
      </c>
      <c r="Y14" s="606"/>
      <c r="Z14" s="605"/>
    </row>
    <row r="15" spans="1:27" ht="139.5" customHeight="1" x14ac:dyDescent="0.25">
      <c r="A15" s="843"/>
      <c r="B15" s="840"/>
      <c r="C15" s="836"/>
      <c r="D15" s="396">
        <v>9</v>
      </c>
      <c r="E15" s="899"/>
      <c r="F15" s="147" t="s">
        <v>68</v>
      </c>
      <c r="G15" s="61" t="s">
        <v>313</v>
      </c>
      <c r="H15" s="62" t="str">
        <f>IF(VLOOKUP(D15,'Indicateurs - en cours'!$C$152:$J$169,8,FALSE)&lt;&gt;0,VLOOKUP(D15,'Indicateurs - en cours'!$C$152:$J$169,8,FALSE),"")</f>
        <v>Part de la population concernée par ces systèmes de rémunération des coûts évités</v>
      </c>
      <c r="I15" s="83" t="s">
        <v>557</v>
      </c>
      <c r="K15" s="898"/>
      <c r="L15" s="436">
        <f>INDEX('Note finale'!$B$5:$AA$26,MATCH($A$13,'Note finale'!$B$5:$B$26,0),MATCH('Axe 4'!$E$14,'Note finale'!$B$4:$AA$4,0))</f>
        <v>1.6605166051660517E-2</v>
      </c>
      <c r="M15" s="602"/>
      <c r="N15" s="603">
        <f t="shared" si="0"/>
        <v>0</v>
      </c>
      <c r="O15" s="620"/>
      <c r="P15" s="605"/>
      <c r="R15" s="613"/>
      <c r="S15" s="603">
        <f t="shared" si="1"/>
        <v>0</v>
      </c>
      <c r="T15" s="620"/>
      <c r="U15" s="605"/>
      <c r="W15" s="613"/>
      <c r="X15" s="603">
        <f t="shared" si="2"/>
        <v>0</v>
      </c>
      <c r="Y15" s="620"/>
      <c r="Z15" s="605"/>
    </row>
    <row r="16" spans="1:27" x14ac:dyDescent="0.25">
      <c r="A16" s="843"/>
      <c r="B16" s="905"/>
      <c r="C16" s="906"/>
      <c r="D16" s="396">
        <v>10</v>
      </c>
      <c r="E16" s="495" t="s">
        <v>75</v>
      </c>
      <c r="F16" s="148" t="s">
        <v>68</v>
      </c>
      <c r="G16" s="63" t="s">
        <v>314</v>
      </c>
      <c r="H16" s="123" t="str">
        <f>IF(VLOOKUP(D16,'Indicateurs - en cours'!$C$152:$J$169,8,FALSE)&lt;&gt;0,VLOOKUP(D16,'Indicateurs - en cours'!$C$152:$J$169,8,FALSE),"")</f>
        <v/>
      </c>
      <c r="I16" s="124"/>
      <c r="K16" s="280">
        <v>10</v>
      </c>
      <c r="L16" s="437">
        <f>INDEX('Note finale'!$B$5:$AA$26,MATCH($A$13,'Note finale'!$B$5:$B$26,0),MATCH('Axe 4'!$E$16,'Note finale'!$B$4:$AA$4,0))</f>
        <v>5.5350553505535052E-3</v>
      </c>
      <c r="M16" s="704"/>
      <c r="N16" s="609">
        <f t="shared" si="0"/>
        <v>0</v>
      </c>
      <c r="O16" s="632"/>
      <c r="P16" s="703"/>
      <c r="R16" s="702"/>
      <c r="S16" s="609">
        <f t="shared" si="1"/>
        <v>0</v>
      </c>
      <c r="T16" s="632"/>
      <c r="U16" s="703"/>
      <c r="W16" s="702"/>
      <c r="X16" s="609">
        <f t="shared" si="2"/>
        <v>0</v>
      </c>
      <c r="Y16" s="632"/>
      <c r="Z16" s="703"/>
    </row>
    <row r="17" spans="1:27" s="244" customFormat="1" ht="7.5" customHeight="1" x14ac:dyDescent="0.25">
      <c r="D17" s="700"/>
      <c r="E17" s="701"/>
      <c r="F17" s="701"/>
      <c r="K17" s="394"/>
      <c r="L17" s="708"/>
      <c r="M17" s="696"/>
      <c r="N17" s="639"/>
      <c r="O17" s="709"/>
      <c r="P17" s="696"/>
      <c r="Q17" s="637"/>
      <c r="R17" s="696"/>
      <c r="S17" s="639"/>
      <c r="T17" s="709"/>
      <c r="U17" s="696"/>
      <c r="V17" s="637"/>
      <c r="W17" s="696"/>
      <c r="X17" s="639"/>
      <c r="Y17" s="709"/>
      <c r="Z17" s="696"/>
      <c r="AA17" s="394"/>
    </row>
    <row r="18" spans="1:27" ht="69.75" customHeight="1" x14ac:dyDescent="0.25">
      <c r="A18" s="843" t="s">
        <v>306</v>
      </c>
      <c r="B18" s="840" t="s">
        <v>284</v>
      </c>
      <c r="C18" s="836" t="s">
        <v>285</v>
      </c>
      <c r="D18" s="396">
        <v>11</v>
      </c>
      <c r="E18" s="904" t="s">
        <v>67</v>
      </c>
      <c r="F18" s="900" t="s">
        <v>286</v>
      </c>
      <c r="G18" s="59" t="s">
        <v>287</v>
      </c>
      <c r="H18" s="94" t="str">
        <f>IF(VLOOKUP(D18,'Indicateurs - en cours'!$C$152:$J$169,8,FALSE)&lt;&gt;0,VLOOKUP(D18,'Indicateurs - en cours'!$C$152:$J$169,8,FALSE),"")</f>
        <v>Le chargé de développement économique connait les moyens de financement les plus adéquats pour développer et porter des projets d'économie circulaire (entretien entre l'auditeur et le chargé de développement économique)</v>
      </c>
      <c r="I18" s="81" t="s">
        <v>288</v>
      </c>
      <c r="K18" s="903">
        <v>10</v>
      </c>
      <c r="L18" s="435">
        <f>IF(Préambule!$E$43="Oui",0,INDEX('Note finale'!$B$5:$AA$26,MATCH($A$18,'Note finale'!$B$5:$B$26,0),MATCH('Axe 4'!$E$18,'Note finale'!$B$4:$AA$4,0)))</f>
        <v>0</v>
      </c>
      <c r="M18" s="705"/>
      <c r="N18" s="599">
        <f>L17*M18</f>
        <v>0</v>
      </c>
      <c r="O18" s="673"/>
      <c r="P18" s="706"/>
      <c r="R18" s="707"/>
      <c r="S18" s="599">
        <f t="shared" si="1"/>
        <v>0</v>
      </c>
      <c r="T18" s="673"/>
      <c r="U18" s="706"/>
      <c r="W18" s="707"/>
      <c r="X18" s="599">
        <f t="shared" si="2"/>
        <v>0</v>
      </c>
      <c r="Y18" s="673"/>
      <c r="Z18" s="706"/>
    </row>
    <row r="19" spans="1:27" ht="25.5" x14ac:dyDescent="0.25">
      <c r="A19" s="843"/>
      <c r="B19" s="840"/>
      <c r="C19" s="836"/>
      <c r="D19" s="396">
        <v>12</v>
      </c>
      <c r="E19" s="899"/>
      <c r="F19" s="901"/>
      <c r="G19" s="61" t="s">
        <v>289</v>
      </c>
      <c r="H19" s="68" t="str">
        <f>IF(VLOOKUP(D19,'Indicateurs - en cours'!$C$152:$J$169,8,FALSE)&lt;&gt;0,VLOOKUP(D19,'Indicateurs - en cours'!$C$152:$J$169,8,FALSE),"")</f>
        <v>Un espace est dédié aux moyens de financement innovants sur le site internet de la CL</v>
      </c>
      <c r="I19" s="83" t="s">
        <v>290</v>
      </c>
      <c r="K19" s="898"/>
      <c r="L19" s="436">
        <f>IF(Préambule!$E$43="Oui",0,INDEX('Note finale'!$B$5:$AA$26,MATCH($A$18,'Note finale'!$B$5:$B$26,0),MATCH('Axe 4'!$E$18,'Note finale'!$B$4:$AA$4,0)))</f>
        <v>0</v>
      </c>
      <c r="M19" s="624"/>
      <c r="N19" s="603">
        <f t="shared" ref="N19:N25" si="3">L18*M19</f>
        <v>0</v>
      </c>
      <c r="O19" s="626"/>
      <c r="P19" s="625"/>
      <c r="R19" s="628"/>
      <c r="S19" s="603">
        <f t="shared" si="1"/>
        <v>0</v>
      </c>
      <c r="T19" s="626"/>
      <c r="U19" s="625"/>
      <c r="W19" s="628"/>
      <c r="X19" s="603">
        <f t="shared" si="2"/>
        <v>0</v>
      </c>
      <c r="Y19" s="626"/>
      <c r="Z19" s="625"/>
    </row>
    <row r="20" spans="1:27" ht="55.5" customHeight="1" x14ac:dyDescent="0.25">
      <c r="A20" s="843"/>
      <c r="B20" s="840"/>
      <c r="C20" s="836"/>
      <c r="D20" s="396">
        <v>13</v>
      </c>
      <c r="E20" s="899"/>
      <c r="F20" s="901"/>
      <c r="G20" s="61" t="s">
        <v>291</v>
      </c>
      <c r="H20" s="68" t="str">
        <f>IF(VLOOKUP(D20,'Indicateurs - en cours'!$C$152:$J$169,8,FALSE)&lt;&gt;0,VLOOKUP(D20,'Indicateurs - en cours'!$C$152:$J$169,8,FALSE),"")</f>
        <v/>
      </c>
      <c r="I20" s="83" t="s">
        <v>292</v>
      </c>
      <c r="K20" s="898"/>
      <c r="L20" s="436">
        <f>IF(Préambule!$E$43="Oui",0,INDEX('Note finale'!$B$5:$AA$26,MATCH($A$18,'Note finale'!$B$5:$B$26,0),MATCH('Axe 4'!$E$18,'Note finale'!$B$4:$AA$4,0)))</f>
        <v>0</v>
      </c>
      <c r="M20" s="621"/>
      <c r="N20" s="603">
        <f t="shared" si="3"/>
        <v>0</v>
      </c>
      <c r="O20" s="606"/>
      <c r="P20" s="622"/>
      <c r="R20" s="627"/>
      <c r="S20" s="603">
        <f t="shared" si="1"/>
        <v>0</v>
      </c>
      <c r="T20" s="606"/>
      <c r="U20" s="622"/>
      <c r="W20" s="627"/>
      <c r="X20" s="603">
        <f t="shared" si="2"/>
        <v>0</v>
      </c>
      <c r="Y20" s="606"/>
      <c r="Z20" s="622"/>
    </row>
    <row r="21" spans="1:27" ht="25.5" x14ac:dyDescent="0.25">
      <c r="A21" s="843"/>
      <c r="B21" s="840"/>
      <c r="C21" s="836"/>
      <c r="D21" s="396">
        <v>14</v>
      </c>
      <c r="E21" s="899" t="s">
        <v>73</v>
      </c>
      <c r="F21" s="901"/>
      <c r="G21" s="61" t="s">
        <v>293</v>
      </c>
      <c r="H21" s="62" t="str">
        <f>IF(VLOOKUP(D21,'Indicateurs - en cours'!$C$152:$J$169,8,FALSE)&lt;&gt;0,VLOOKUP(D21,'Indicateurs - en cours'!$C$152:$J$169,8,FALSE),"")</f>
        <v/>
      </c>
      <c r="I21" s="79"/>
      <c r="K21" s="898">
        <v>70</v>
      </c>
      <c r="L21" s="436">
        <f>IF(Préambule!$E$43="Oui",0,INDEX('Note finale'!$B$5:$AA$26,MATCH($A$18,'Note finale'!$B$5:$B$26,0),MATCH('Axe 4'!$E$21,'Note finale'!$B$4:$AA$4,0)))</f>
        <v>0</v>
      </c>
      <c r="M21" s="602"/>
      <c r="N21" s="603">
        <f t="shared" si="3"/>
        <v>0</v>
      </c>
      <c r="O21" s="630"/>
      <c r="P21" s="605"/>
      <c r="R21" s="613"/>
      <c r="S21" s="603">
        <f t="shared" si="1"/>
        <v>0</v>
      </c>
      <c r="T21" s="630"/>
      <c r="U21" s="605"/>
      <c r="W21" s="613"/>
      <c r="X21" s="603">
        <f t="shared" si="2"/>
        <v>0</v>
      </c>
      <c r="Y21" s="630"/>
      <c r="Z21" s="605"/>
    </row>
    <row r="22" spans="1:27" ht="60" customHeight="1" x14ac:dyDescent="0.25">
      <c r="A22" s="843"/>
      <c r="B22" s="840"/>
      <c r="C22" s="836"/>
      <c r="D22" s="396">
        <v>15</v>
      </c>
      <c r="E22" s="899"/>
      <c r="F22" s="901"/>
      <c r="G22" s="61" t="s">
        <v>294</v>
      </c>
      <c r="H22" s="62" t="str">
        <f>IF(VLOOKUP(D22,'Indicateurs - en cours'!$C$152:$J$169,8,FALSE)&lt;&gt;0,VLOOKUP(D22,'Indicateurs - en cours'!$C$152:$J$169,8,FALSE),"")</f>
        <v>Valeur de l'aide financière incitative</v>
      </c>
      <c r="I22" s="79"/>
      <c r="K22" s="898"/>
      <c r="L22" s="436">
        <f>IF(Préambule!$E$43="Oui",0,INDEX('Note finale'!$B$5:$AA$26,MATCH($A$18,'Note finale'!$B$5:$B$26,0),MATCH('Axe 4'!$E$21,'Note finale'!$B$4:$AA$4,0)))</f>
        <v>0</v>
      </c>
      <c r="M22" s="602"/>
      <c r="N22" s="603">
        <f t="shared" si="3"/>
        <v>0</v>
      </c>
      <c r="O22" s="607"/>
      <c r="P22" s="605"/>
      <c r="R22" s="613"/>
      <c r="S22" s="603">
        <f t="shared" si="1"/>
        <v>0</v>
      </c>
      <c r="T22" s="607"/>
      <c r="U22" s="605"/>
      <c r="W22" s="613"/>
      <c r="X22" s="603">
        <f t="shared" si="2"/>
        <v>0</v>
      </c>
      <c r="Y22" s="607"/>
      <c r="Z22" s="605"/>
    </row>
    <row r="23" spans="1:27" ht="92.25" customHeight="1" x14ac:dyDescent="0.25">
      <c r="A23" s="843"/>
      <c r="B23" s="840"/>
      <c r="C23" s="836"/>
      <c r="D23" s="396">
        <v>16</v>
      </c>
      <c r="E23" s="899"/>
      <c r="F23" s="901"/>
      <c r="G23" s="61" t="s">
        <v>295</v>
      </c>
      <c r="H23" s="62" t="str">
        <f>IF(VLOOKUP(D23,'Indicateurs - en cours'!$C$152:$J$169,8,FALSE)&lt;&gt;0,VLOOKUP(D23,'Indicateurs - en cours'!$C$152:$J$169,8,FALSE),"")</f>
        <v>Part du budget de la collectivité affecté à ces projets</v>
      </c>
      <c r="I23" s="83" t="s">
        <v>558</v>
      </c>
      <c r="K23" s="898"/>
      <c r="L23" s="436">
        <f>IF(Préambule!$E$43="Oui",0,INDEX('Note finale'!$B$5:$AA$26,MATCH($A$18,'Note finale'!$B$5:$B$26,0),MATCH('Axe 4'!$E$21,'Note finale'!$B$4:$AA$4,0)))</f>
        <v>0</v>
      </c>
      <c r="M23" s="602"/>
      <c r="N23" s="603">
        <f t="shared" si="3"/>
        <v>0</v>
      </c>
      <c r="O23" s="607"/>
      <c r="P23" s="605"/>
      <c r="R23" s="613"/>
      <c r="S23" s="603">
        <f t="shared" si="1"/>
        <v>0</v>
      </c>
      <c r="T23" s="607"/>
      <c r="U23" s="605"/>
      <c r="W23" s="613"/>
      <c r="X23" s="603">
        <f t="shared" si="2"/>
        <v>0</v>
      </c>
      <c r="Y23" s="607"/>
      <c r="Z23" s="605"/>
    </row>
    <row r="24" spans="1:27" ht="134.25" customHeight="1" x14ac:dyDescent="0.25">
      <c r="A24" s="843"/>
      <c r="B24" s="840"/>
      <c r="C24" s="836"/>
      <c r="D24" s="396">
        <v>17</v>
      </c>
      <c r="E24" s="899"/>
      <c r="F24" s="901"/>
      <c r="G24" s="61" t="s">
        <v>879</v>
      </c>
      <c r="H24" s="62" t="str">
        <f>IF(VLOOKUP(D24,'Indicateurs - en cours'!$C$152:$J$169,8,FALSE)&lt;&gt;0,VLOOKUP(D24,'Indicateurs - en cours'!$C$152:$J$169,8,FALSE),"")</f>
        <v>Part du budget engagé dans le 1% déchet</v>
      </c>
      <c r="I24" s="79" t="s">
        <v>296</v>
      </c>
      <c r="K24" s="898"/>
      <c r="L24" s="436">
        <f>IF(Préambule!$E$43="Oui",0,INDEX('Note finale'!$B$5:$AA$26,MATCH($A$18,'Note finale'!$B$5:$B$26,0),MATCH('Axe 4'!$E$21,'Note finale'!$B$4:$AA$4,0)))</f>
        <v>0</v>
      </c>
      <c r="M24" s="602"/>
      <c r="N24" s="603">
        <f t="shared" si="3"/>
        <v>0</v>
      </c>
      <c r="O24" s="607"/>
      <c r="P24" s="605"/>
      <c r="R24" s="613"/>
      <c r="S24" s="603">
        <f t="shared" si="1"/>
        <v>0</v>
      </c>
      <c r="T24" s="607"/>
      <c r="U24" s="605"/>
      <c r="W24" s="613"/>
      <c r="X24" s="603">
        <f t="shared" si="2"/>
        <v>0</v>
      </c>
      <c r="Y24" s="607"/>
      <c r="Z24" s="605"/>
    </row>
    <row r="25" spans="1:27" ht="41.25" customHeight="1" x14ac:dyDescent="0.25">
      <c r="A25" s="843"/>
      <c r="B25" s="905"/>
      <c r="C25" s="906"/>
      <c r="D25" s="396">
        <v>18</v>
      </c>
      <c r="E25" s="495" t="s">
        <v>75</v>
      </c>
      <c r="F25" s="902"/>
      <c r="G25" s="63" t="s">
        <v>297</v>
      </c>
      <c r="H25" s="60" t="str">
        <f>IF(VLOOKUP(D25,'Indicateurs - en cours'!$C$152:$J$169,8,FALSE)&lt;&gt;0,VLOOKUP(D25,'Indicateurs - en cours'!$C$152:$J$169,8,FALSE),"")</f>
        <v>Type et nombre d'opérations de communication autour des démarches exemplaires du territoire réalisées</v>
      </c>
      <c r="I25" s="80" t="s">
        <v>298</v>
      </c>
      <c r="K25" s="280">
        <v>20</v>
      </c>
      <c r="L25" s="437">
        <f>IF(Préambule!$E$43="Oui",0,INDEX('Note finale'!$B$5:$AA$26,MATCH($A$18,'Note finale'!$B$5:$B$26,0),MATCH('Axe 4'!$E$25,'Note finale'!$B$4:$AA$4,0)))</f>
        <v>0</v>
      </c>
      <c r="M25" s="633"/>
      <c r="N25" s="609">
        <f t="shared" si="3"/>
        <v>0</v>
      </c>
      <c r="O25" s="632"/>
      <c r="P25" s="631"/>
      <c r="R25" s="629"/>
      <c r="S25" s="609">
        <f t="shared" si="1"/>
        <v>0</v>
      </c>
      <c r="T25" s="632"/>
      <c r="U25" s="631"/>
      <c r="W25" s="629"/>
      <c r="X25" s="609">
        <f t="shared" si="2"/>
        <v>0</v>
      </c>
      <c r="Y25" s="632"/>
      <c r="Z25" s="631"/>
    </row>
  </sheetData>
  <sheetProtection algorithmName="SHA-512" hashValue="oIslALGPUMahMKNy6UNj2qNGXyPlNpPh/18rGU696XT9znZJ82KkM4+YgT4BYVi49ZXHd2WRr3HlKqeYHmXJng==" saltValue="HfgMprdmo20iA1miw9V/7Q==" spinCount="100000" sheet="1" selectLockedCells="1"/>
  <mergeCells count="25">
    <mergeCell ref="A18:A25"/>
    <mergeCell ref="F18:F25"/>
    <mergeCell ref="K18:K20"/>
    <mergeCell ref="E18:E20"/>
    <mergeCell ref="E7:E10"/>
    <mergeCell ref="K7:K10"/>
    <mergeCell ref="B18:B25"/>
    <mergeCell ref="C18:C25"/>
    <mergeCell ref="B6:B11"/>
    <mergeCell ref="C6:C11"/>
    <mergeCell ref="B13:B16"/>
    <mergeCell ref="C13:C16"/>
    <mergeCell ref="R3:U3"/>
    <mergeCell ref="W3:Z3"/>
    <mergeCell ref="M3:P3"/>
    <mergeCell ref="E3:I3"/>
    <mergeCell ref="K21:K24"/>
    <mergeCell ref="E21:E24"/>
    <mergeCell ref="E14:E15"/>
    <mergeCell ref="K14:K15"/>
    <mergeCell ref="A1:O1"/>
    <mergeCell ref="C3:C4"/>
    <mergeCell ref="B3:B4"/>
    <mergeCell ref="A6:A11"/>
    <mergeCell ref="A13:A16"/>
  </mergeCells>
  <conditionalFormatting sqref="L6:L11 L13:L16 L18:L25">
    <cfRule type="cellIs" dxfId="10" priority="26" operator="greaterThan">
      <formula>0.01</formula>
    </cfRule>
  </conditionalFormatting>
  <pageMargins left="0.25" right="0.25" top="0.75" bottom="0.75" header="0.3" footer="0.3"/>
  <pageSetup paperSize="8" scale="63"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 id="{F2BED97E-2FD0-47B9-A005-4CBE0323ABE8}">
            <xm:f>Préambule!$E$43="Oui"</xm:f>
            <x14:dxf>
              <fill>
                <patternFill patternType="lightUp">
                  <fgColor theme="0" tint="-0.499984740745262"/>
                </patternFill>
              </fill>
            </x14:dxf>
          </x14:cfRule>
          <xm:sqref>F18:Z25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Z25"/>
  <sheetViews>
    <sheetView showGridLines="0" topLeftCell="D1" zoomScale="80" zoomScaleNormal="80" workbookViewId="0">
      <selection activeCell="M8" sqref="M8"/>
    </sheetView>
  </sheetViews>
  <sheetFormatPr baseColWidth="10" defaultColWidth="11.42578125" defaultRowHeight="15" x14ac:dyDescent="0.25"/>
  <cols>
    <col min="1" max="1" width="4.85546875" bestFit="1" customWidth="1"/>
    <col min="2" max="2" width="24.28515625" customWidth="1"/>
    <col min="3" max="3" width="38.85546875" customWidth="1"/>
    <col min="4" max="4" width="3.5703125" style="410" customWidth="1"/>
    <col min="5" max="5" width="10" style="49" bestFit="1" customWidth="1"/>
    <col min="6" max="6" width="14.42578125" customWidth="1"/>
    <col min="7" max="7" width="74.28515625" customWidth="1"/>
    <col min="8" max="8" width="44" customWidth="1"/>
    <col min="9" max="9" width="40.5703125" customWidth="1"/>
    <col min="10" max="10" width="3.5703125" customWidth="1"/>
    <col min="11" max="11" width="12" customWidth="1"/>
    <col min="12" max="12" width="12" hidden="1" customWidth="1"/>
    <col min="13" max="13" width="13.7109375" style="1" customWidth="1"/>
    <col min="14" max="14" width="17.7109375" style="50" hidden="1" customWidth="1"/>
    <col min="15" max="15" width="37.140625" style="1" customWidth="1"/>
    <col min="16" max="16" width="13.7109375" style="1" customWidth="1"/>
    <col min="17" max="17" width="3" style="1" customWidth="1"/>
    <col min="18" max="18" width="13.7109375" style="1" customWidth="1"/>
    <col min="19" max="19" width="17.7109375" style="50" hidden="1" customWidth="1"/>
    <col min="20" max="20" width="37.140625" style="1" customWidth="1"/>
    <col min="21" max="21" width="13.7109375" style="1" customWidth="1"/>
    <col min="22" max="22" width="3" style="1" customWidth="1"/>
    <col min="23" max="23" width="13.7109375" style="1" customWidth="1"/>
    <col min="24" max="24" width="17.7109375" style="50" hidden="1" customWidth="1"/>
    <col min="25" max="25" width="37.140625" style="1" customWidth="1"/>
    <col min="26" max="26" width="13.7109375" style="1" customWidth="1"/>
  </cols>
  <sheetData>
    <row r="1" spans="1:26" ht="18.75" x14ac:dyDescent="0.25">
      <c r="A1" s="841" t="s">
        <v>888</v>
      </c>
      <c r="B1" s="841"/>
      <c r="C1" s="841"/>
      <c r="D1" s="841"/>
      <c r="E1" s="841"/>
      <c r="F1" s="841"/>
      <c r="G1" s="841"/>
      <c r="H1" s="841"/>
      <c r="I1" s="841"/>
      <c r="J1" s="841"/>
      <c r="K1" s="841"/>
      <c r="L1" s="841"/>
      <c r="M1" s="841"/>
      <c r="N1" s="841"/>
      <c r="O1" s="841"/>
      <c r="P1" s="526"/>
      <c r="Q1" s="526"/>
      <c r="R1" s="526"/>
      <c r="S1" s="526"/>
      <c r="T1" s="526"/>
      <c r="U1" s="526"/>
      <c r="V1" s="526"/>
      <c r="W1" s="526"/>
      <c r="X1" s="526"/>
      <c r="Y1" s="526"/>
      <c r="Z1" s="526"/>
    </row>
    <row r="3" spans="1:26" ht="29.25" customHeight="1" x14ac:dyDescent="0.25">
      <c r="B3" s="839" t="s">
        <v>59</v>
      </c>
      <c r="C3" s="839" t="s">
        <v>60</v>
      </c>
      <c r="D3" s="395"/>
      <c r="E3" s="835" t="s">
        <v>889</v>
      </c>
      <c r="F3" s="835"/>
      <c r="G3" s="835"/>
      <c r="H3" s="835"/>
      <c r="I3" s="835"/>
      <c r="L3" s="525"/>
      <c r="M3" s="835" t="s">
        <v>920</v>
      </c>
      <c r="N3" s="835"/>
      <c r="O3" s="835"/>
      <c r="P3" s="835"/>
      <c r="R3" s="835" t="s">
        <v>921</v>
      </c>
      <c r="S3" s="835"/>
      <c r="T3" s="835"/>
      <c r="U3" s="835"/>
      <c r="W3" s="835" t="s">
        <v>924</v>
      </c>
      <c r="X3" s="835"/>
      <c r="Y3" s="835"/>
      <c r="Z3" s="835"/>
    </row>
    <row r="4" spans="1:26" ht="51" x14ac:dyDescent="0.25">
      <c r="B4" s="839"/>
      <c r="C4" s="839"/>
      <c r="D4" s="395"/>
      <c r="E4" s="98" t="s">
        <v>902</v>
      </c>
      <c r="F4" s="98" t="s">
        <v>61</v>
      </c>
      <c r="G4" s="76" t="s">
        <v>62</v>
      </c>
      <c r="H4" s="76" t="s">
        <v>63</v>
      </c>
      <c r="I4" s="76" t="s">
        <v>916</v>
      </c>
      <c r="K4" s="75" t="s">
        <v>915</v>
      </c>
      <c r="L4" s="75" t="s">
        <v>673</v>
      </c>
      <c r="M4" s="424" t="s">
        <v>918</v>
      </c>
      <c r="N4" s="75" t="s">
        <v>896</v>
      </c>
      <c r="O4" s="75" t="s">
        <v>917</v>
      </c>
      <c r="P4" s="424" t="s">
        <v>919</v>
      </c>
      <c r="R4" s="424" t="s">
        <v>922</v>
      </c>
      <c r="S4" s="75" t="s">
        <v>896</v>
      </c>
      <c r="T4" s="75" t="s">
        <v>917</v>
      </c>
      <c r="U4" s="424" t="s">
        <v>923</v>
      </c>
      <c r="W4" s="424" t="s">
        <v>925</v>
      </c>
      <c r="X4" s="75" t="s">
        <v>896</v>
      </c>
      <c r="Y4" s="75" t="s">
        <v>917</v>
      </c>
      <c r="Z4" s="424" t="s">
        <v>926</v>
      </c>
    </row>
    <row r="5" spans="1:26" ht="7.5" customHeight="1" x14ac:dyDescent="0.25">
      <c r="M5" s="3"/>
      <c r="P5" s="3"/>
      <c r="R5" s="3"/>
      <c r="U5" s="3"/>
      <c r="W5" s="3"/>
      <c r="Z5" s="3"/>
    </row>
    <row r="6" spans="1:26" ht="31.5" customHeight="1" x14ac:dyDescent="0.25">
      <c r="A6" s="843" t="s">
        <v>315</v>
      </c>
      <c r="B6" s="840" t="s">
        <v>561</v>
      </c>
      <c r="C6" s="836" t="s">
        <v>316</v>
      </c>
      <c r="D6" s="408">
        <v>1</v>
      </c>
      <c r="E6" s="908" t="s">
        <v>67</v>
      </c>
      <c r="F6" s="154" t="s">
        <v>68</v>
      </c>
      <c r="G6" s="70" t="s">
        <v>317</v>
      </c>
      <c r="H6" s="65" t="str">
        <f>IF(VLOOKUP(D6,'Indicateurs - en cours'!$C$171:$J$187,8,FALSE)&lt;&gt;0,VLOOKUP(D6,'Indicateurs - en cours'!$C$171:$J$187,8,FALSE),"")</f>
        <v/>
      </c>
      <c r="I6" s="66"/>
      <c r="K6" s="903">
        <v>30</v>
      </c>
      <c r="L6" s="435">
        <f>INDEX('Note finale'!$B$5:$AA$26,MATCH($A$6,'Note finale'!$B$5:$B$26,0),MATCH('Axe 5'!$E$6,'Note finale'!$B$4:$AA$4,0))</f>
        <v>8.3025830258302586E-3</v>
      </c>
      <c r="M6" s="598"/>
      <c r="N6" s="775">
        <f>L6*M6</f>
        <v>0</v>
      </c>
      <c r="O6" s="600"/>
      <c r="P6" s="601"/>
      <c r="R6" s="612"/>
      <c r="S6" s="599">
        <f>L6*R6</f>
        <v>0</v>
      </c>
      <c r="T6" s="600"/>
      <c r="U6" s="601"/>
      <c r="W6" s="612"/>
      <c r="X6" s="599">
        <f>L6*W6</f>
        <v>0</v>
      </c>
      <c r="Y6" s="600"/>
      <c r="Z6" s="601"/>
    </row>
    <row r="7" spans="1:26" ht="45.75" customHeight="1" x14ac:dyDescent="0.25">
      <c r="A7" s="843"/>
      <c r="B7" s="840"/>
      <c r="C7" s="836"/>
      <c r="D7" s="409">
        <v>2</v>
      </c>
      <c r="E7" s="909"/>
      <c r="F7" s="155" t="s">
        <v>68</v>
      </c>
      <c r="G7" s="67" t="s">
        <v>318</v>
      </c>
      <c r="H7" s="68" t="str">
        <f>IF(VLOOKUP(D7,'Indicateurs - en cours'!$C$171:$J$187,8,FALSE)&lt;&gt;0,VLOOKUP(D7,'Indicateurs - en cours'!$C$171:$J$187,8,FALSE),"")</f>
        <v>Une concertation amont pour co-construire le projet d'EC a été mise en place</v>
      </c>
      <c r="I7" s="272" t="s">
        <v>959</v>
      </c>
      <c r="K7" s="898"/>
      <c r="L7" s="436">
        <f>INDEX('Note finale'!$B$5:$AA$26,MATCH($A$6,'Note finale'!$B$5:$B$26,0),MATCH('Axe 5'!$E$6,'Note finale'!$B$4:$AA$4,0))</f>
        <v>8.3025830258302586E-3</v>
      </c>
      <c r="M7" s="602"/>
      <c r="N7" s="776">
        <f t="shared" ref="N7:N16" si="0">L7*M7</f>
        <v>0</v>
      </c>
      <c r="O7" s="604"/>
      <c r="P7" s="605"/>
      <c r="R7" s="613"/>
      <c r="S7" s="603">
        <f t="shared" ref="S7:S24" si="1">L7*R7</f>
        <v>0</v>
      </c>
      <c r="T7" s="604"/>
      <c r="U7" s="605"/>
      <c r="W7" s="613"/>
      <c r="X7" s="603">
        <f t="shared" ref="X7:X24" si="2">L7*W7</f>
        <v>0</v>
      </c>
      <c r="Y7" s="604"/>
      <c r="Z7" s="605"/>
    </row>
    <row r="8" spans="1:26" ht="104.25" customHeight="1" x14ac:dyDescent="0.25">
      <c r="A8" s="843"/>
      <c r="B8" s="840"/>
      <c r="C8" s="836"/>
      <c r="D8" s="408">
        <v>3</v>
      </c>
      <c r="E8" s="899" t="s">
        <v>73</v>
      </c>
      <c r="F8" s="147" t="s">
        <v>68</v>
      </c>
      <c r="G8" s="67" t="s">
        <v>319</v>
      </c>
      <c r="H8" s="273" t="str">
        <f>IF(VLOOKUP(D8,'Indicateurs - en cours'!$C$171:$J$187,8,FALSE)&lt;&gt;0,VLOOKUP(D8,'Indicateurs - en cours'!$C$171:$J$187,8,FALSE),"")</f>
        <v>Nombre total de participants sensibilisés à la politique d'EC du territoire, au travers des réunions de sensibilisation organisées</v>
      </c>
      <c r="I8" s="83" t="s">
        <v>560</v>
      </c>
      <c r="K8" s="898">
        <v>60</v>
      </c>
      <c r="L8" s="436">
        <f>INDEX('Note finale'!$B$5:$AA$26,MATCH($A$6,'Note finale'!$B$5:$B$26,0),MATCH('Axe 5'!$E$8,'Note finale'!$B$4:$AA$4,0))</f>
        <v>1.107011070110701E-2</v>
      </c>
      <c r="M8" s="602"/>
      <c r="N8" s="776">
        <f t="shared" si="0"/>
        <v>0</v>
      </c>
      <c r="O8" s="604"/>
      <c r="P8" s="605"/>
      <c r="R8" s="613"/>
      <c r="S8" s="603">
        <f t="shared" si="1"/>
        <v>0</v>
      </c>
      <c r="T8" s="604"/>
      <c r="U8" s="605"/>
      <c r="W8" s="613"/>
      <c r="X8" s="603">
        <f t="shared" si="2"/>
        <v>0</v>
      </c>
      <c r="Y8" s="604"/>
      <c r="Z8" s="605"/>
    </row>
    <row r="9" spans="1:26" ht="68.25" customHeight="1" x14ac:dyDescent="0.25">
      <c r="A9" s="843"/>
      <c r="B9" s="840"/>
      <c r="C9" s="836"/>
      <c r="D9" s="409">
        <v>4</v>
      </c>
      <c r="E9" s="899"/>
      <c r="F9" s="147" t="s">
        <v>68</v>
      </c>
      <c r="G9" s="61" t="s">
        <v>320</v>
      </c>
      <c r="H9" s="68" t="str">
        <f>IF(VLOOKUP(D9,'Indicateurs - en cours'!$C$171:$J$187,8,FALSE)&lt;&gt;0,VLOOKUP(D9,'Indicateurs - en cours'!$C$171:$J$187,8,FALSE),"")</f>
        <v>Nombre de participants formés via les formations-actions</v>
      </c>
      <c r="I9" s="83" t="s">
        <v>321</v>
      </c>
      <c r="K9" s="898"/>
      <c r="L9" s="436">
        <f>INDEX('Note finale'!$B$5:$AA$26,MATCH($A$6,'Note finale'!$B$5:$B$26,0),MATCH('Axe 5'!$E$8,'Note finale'!$B$4:$AA$4,0))</f>
        <v>1.107011070110701E-2</v>
      </c>
      <c r="M9" s="602"/>
      <c r="N9" s="781">
        <f t="shared" si="0"/>
        <v>0</v>
      </c>
      <c r="O9" s="606"/>
      <c r="P9" s="605"/>
      <c r="Q9" s="637"/>
      <c r="R9" s="613"/>
      <c r="S9" s="699">
        <f t="shared" si="1"/>
        <v>0</v>
      </c>
      <c r="T9" s="606"/>
      <c r="U9" s="605"/>
      <c r="V9" s="637"/>
      <c r="W9" s="613"/>
      <c r="X9" s="699">
        <f t="shared" si="2"/>
        <v>0</v>
      </c>
      <c r="Y9" s="606"/>
      <c r="Z9" s="605"/>
    </row>
    <row r="10" spans="1:26" ht="262.5" customHeight="1" x14ac:dyDescent="0.25">
      <c r="A10" s="843"/>
      <c r="B10" s="840"/>
      <c r="C10" s="836"/>
      <c r="D10" s="408">
        <v>5</v>
      </c>
      <c r="E10" s="899"/>
      <c r="F10" s="147" t="s">
        <v>68</v>
      </c>
      <c r="G10" s="78" t="s">
        <v>322</v>
      </c>
      <c r="H10" s="68" t="str">
        <f>IF(VLOOKUP(D10,'Indicateurs - en cours'!$C$171:$J$187,8,FALSE)&lt;&gt;0,VLOOKUP(D10,'Indicateurs - en cours'!$C$171:$J$187,8,FALSE),"")</f>
        <v>Nombre de relais formés</v>
      </c>
      <c r="I10" s="83" t="s">
        <v>565</v>
      </c>
      <c r="K10" s="898"/>
      <c r="L10" s="436">
        <f>INDEX('Note finale'!$B$5:$AA$26,MATCH($A$6,'Note finale'!$B$5:$B$26,0),MATCH('Axe 5'!$E$8,'Note finale'!$B$4:$AA$4,0))</f>
        <v>1.107011070110701E-2</v>
      </c>
      <c r="M10" s="602"/>
      <c r="N10" s="776">
        <f t="shared" si="0"/>
        <v>0</v>
      </c>
      <c r="O10" s="607"/>
      <c r="P10" s="605"/>
      <c r="R10" s="613"/>
      <c r="S10" s="603">
        <f t="shared" si="1"/>
        <v>0</v>
      </c>
      <c r="T10" s="607"/>
      <c r="U10" s="605"/>
      <c r="W10" s="613"/>
      <c r="X10" s="603">
        <f t="shared" si="2"/>
        <v>0</v>
      </c>
      <c r="Y10" s="607"/>
      <c r="Z10" s="605"/>
    </row>
    <row r="11" spans="1:26" ht="93" customHeight="1" x14ac:dyDescent="0.25">
      <c r="A11" s="843"/>
      <c r="B11" s="840"/>
      <c r="C11" s="836"/>
      <c r="D11" s="409">
        <v>6</v>
      </c>
      <c r="E11" s="495" t="s">
        <v>75</v>
      </c>
      <c r="F11" s="148" t="s">
        <v>68</v>
      </c>
      <c r="G11" s="63" t="s">
        <v>323</v>
      </c>
      <c r="H11" s="64" t="str">
        <f>IF(VLOOKUP(D11,'Indicateurs - en cours'!$C$171:$J$187,8,FALSE)&lt;&gt;0,VLOOKUP(D11,'Indicateurs - en cours'!$C$171:$J$187,8,FALSE),"")</f>
        <v>Nombre de projets d'EC portés par les acteurs du territoire, réalisés ou en cours de réalisation</v>
      </c>
      <c r="I11" s="97" t="s">
        <v>324</v>
      </c>
      <c r="K11" s="280">
        <v>10</v>
      </c>
      <c r="L11" s="437">
        <f>INDEX('Note finale'!$B$5:$AA$26,MATCH($A$6,'Note finale'!$B$5:$B$26,0),MATCH('Axe 5'!$E$11,'Note finale'!$B$4:$AA$4,0))</f>
        <v>5.5350553505535052E-3</v>
      </c>
      <c r="M11" s="608"/>
      <c r="N11" s="777">
        <f t="shared" si="0"/>
        <v>0</v>
      </c>
      <c r="O11" s="610"/>
      <c r="P11" s="611"/>
      <c r="R11" s="614"/>
      <c r="S11" s="609">
        <f t="shared" si="1"/>
        <v>0</v>
      </c>
      <c r="T11" s="610"/>
      <c r="U11" s="611"/>
      <c r="W11" s="614"/>
      <c r="X11" s="609">
        <f t="shared" si="2"/>
        <v>0</v>
      </c>
      <c r="Y11" s="610"/>
      <c r="Z11" s="611"/>
    </row>
    <row r="12" spans="1:26" ht="7.5" customHeight="1" x14ac:dyDescent="0.25">
      <c r="A12" s="3"/>
      <c r="B12" s="10"/>
      <c r="C12" s="3"/>
      <c r="D12" s="409"/>
      <c r="E12" s="297"/>
      <c r="F12" s="3"/>
      <c r="G12" s="4"/>
      <c r="H12" s="69"/>
      <c r="I12" s="69"/>
      <c r="K12" s="141"/>
      <c r="L12" s="434"/>
      <c r="M12" s="696"/>
      <c r="N12" s="638"/>
      <c r="O12" s="711"/>
      <c r="P12" s="696"/>
      <c r="Q12" s="637"/>
      <c r="R12" s="696"/>
      <c r="S12" s="639"/>
      <c r="T12" s="711"/>
      <c r="U12" s="696"/>
      <c r="V12" s="637"/>
      <c r="W12" s="696"/>
      <c r="X12" s="639"/>
      <c r="Y12" s="711"/>
      <c r="Z12" s="696"/>
    </row>
    <row r="13" spans="1:26" ht="63.75" customHeight="1" x14ac:dyDescent="0.25">
      <c r="A13" s="843" t="s">
        <v>325</v>
      </c>
      <c r="B13" s="840" t="s">
        <v>326</v>
      </c>
      <c r="C13" s="836" t="s">
        <v>563</v>
      </c>
      <c r="D13" s="409">
        <v>7</v>
      </c>
      <c r="E13" s="494" t="s">
        <v>67</v>
      </c>
      <c r="F13" s="146" t="s">
        <v>68</v>
      </c>
      <c r="G13" s="59" t="s">
        <v>327</v>
      </c>
      <c r="H13" s="94" t="str">
        <f>IF(VLOOKUP(D13,'Indicateurs - en cours'!$C$171:$J$187,8,FALSE)&lt;&gt;0,VLOOKUP(D13,'Indicateurs - en cours'!$C$171:$J$187,8,FALSE),"")</f>
        <v>Part des communes couvertes par la politique Economie Circulaire concernées par une réunion de sensibilisation</v>
      </c>
      <c r="I13" s="81" t="s">
        <v>328</v>
      </c>
      <c r="K13" s="416">
        <v>30</v>
      </c>
      <c r="L13" s="435">
        <f>INDEX('Note finale'!$B$5:$AA$26,MATCH($A$13,'Note finale'!$B$5:$B$26,0),MATCH('Axe 5'!$E$13,'Note finale'!$B$4:$AA$4,0))</f>
        <v>1.107011070110701E-2</v>
      </c>
      <c r="M13" s="598"/>
      <c r="N13" s="775">
        <f t="shared" si="0"/>
        <v>0</v>
      </c>
      <c r="O13" s="619"/>
      <c r="P13" s="601"/>
      <c r="R13" s="612"/>
      <c r="S13" s="599">
        <f t="shared" si="1"/>
        <v>0</v>
      </c>
      <c r="T13" s="619"/>
      <c r="U13" s="601"/>
      <c r="W13" s="612"/>
      <c r="X13" s="599">
        <f t="shared" si="2"/>
        <v>0</v>
      </c>
      <c r="Y13" s="619"/>
      <c r="Z13" s="601"/>
    </row>
    <row r="14" spans="1:26" ht="48.75" customHeight="1" x14ac:dyDescent="0.25">
      <c r="A14" s="843"/>
      <c r="B14" s="840"/>
      <c r="C14" s="836"/>
      <c r="D14" s="409">
        <v>8</v>
      </c>
      <c r="E14" s="907" t="s">
        <v>73</v>
      </c>
      <c r="F14" s="147" t="s">
        <v>68</v>
      </c>
      <c r="G14" s="61" t="s">
        <v>329</v>
      </c>
      <c r="H14" s="68" t="str">
        <f>IF(VLOOKUP(D14,'Indicateurs - en cours'!$C$171:$J$187,8,FALSE)&lt;&gt;0,VLOOKUP(D14,'Indicateurs - en cours'!$C$171:$J$187,8,FALSE),"")</f>
        <v>Part des communes couvertes par la politique Economie Circulaire dotées d'un correspondant EC</v>
      </c>
      <c r="I14" s="83" t="s">
        <v>330</v>
      </c>
      <c r="K14" s="898">
        <v>40</v>
      </c>
      <c r="L14" s="436">
        <f>INDEX('Note finale'!$B$5:$AA$26,MATCH($A$13,'Note finale'!$B$5:$B$26,0),MATCH('Axe 5'!$E$14,'Note finale'!$B$4:$AA$4,0))</f>
        <v>7.3800738007380072E-3</v>
      </c>
      <c r="M14" s="602"/>
      <c r="N14" s="776">
        <f t="shared" si="0"/>
        <v>0</v>
      </c>
      <c r="O14" s="606"/>
      <c r="P14" s="605"/>
      <c r="R14" s="613"/>
      <c r="S14" s="603">
        <f t="shared" si="1"/>
        <v>0</v>
      </c>
      <c r="T14" s="606"/>
      <c r="U14" s="605"/>
      <c r="W14" s="613"/>
      <c r="X14" s="603">
        <f t="shared" si="2"/>
        <v>0</v>
      </c>
      <c r="Y14" s="606"/>
      <c r="Z14" s="605"/>
    </row>
    <row r="15" spans="1:26" ht="117.75" customHeight="1" x14ac:dyDescent="0.25">
      <c r="A15" s="843"/>
      <c r="B15" s="840"/>
      <c r="C15" s="836"/>
      <c r="D15" s="409">
        <v>9</v>
      </c>
      <c r="E15" s="907"/>
      <c r="F15" s="147" t="s">
        <v>68</v>
      </c>
      <c r="G15" s="67" t="s">
        <v>562</v>
      </c>
      <c r="H15" s="68" t="str">
        <f>IF(VLOOKUP(D15,'Indicateurs - en cours'!$C$171:$J$187,8,FALSE)&lt;&gt;0,VLOOKUP(D15,'Indicateurs - en cours'!$C$171:$J$187,8,FALSE),"")</f>
        <v xml:space="preserve">Nombre de communications dans les collectivités infra </v>
      </c>
      <c r="I15" s="83" t="s">
        <v>932</v>
      </c>
      <c r="K15" s="898"/>
      <c r="L15" s="436">
        <f>INDEX('Note finale'!$B$5:$AA$26,MATCH($A$13,'Note finale'!$B$5:$B$26,0),MATCH('Axe 5'!$E$14,'Note finale'!$B$4:$AA$4,0))</f>
        <v>7.3800738007380072E-3</v>
      </c>
      <c r="M15" s="602"/>
      <c r="N15" s="776">
        <f t="shared" si="0"/>
        <v>0</v>
      </c>
      <c r="O15" s="620"/>
      <c r="P15" s="605"/>
      <c r="R15" s="613"/>
      <c r="S15" s="603">
        <f t="shared" si="1"/>
        <v>0</v>
      </c>
      <c r="T15" s="620"/>
      <c r="U15" s="605"/>
      <c r="W15" s="613"/>
      <c r="X15" s="603">
        <f t="shared" si="2"/>
        <v>0</v>
      </c>
      <c r="Y15" s="620"/>
      <c r="Z15" s="605"/>
    </row>
    <row r="16" spans="1:26" ht="49.5" customHeight="1" x14ac:dyDescent="0.25">
      <c r="A16" s="843"/>
      <c r="B16" s="905"/>
      <c r="C16" s="906"/>
      <c r="D16" s="409">
        <v>10</v>
      </c>
      <c r="E16" s="495" t="s">
        <v>75</v>
      </c>
      <c r="F16" s="148" t="s">
        <v>68</v>
      </c>
      <c r="G16" s="63" t="s">
        <v>331</v>
      </c>
      <c r="H16" s="64" t="str">
        <f>IF(VLOOKUP(D16,'Indicateurs - en cours'!$C$171:$J$187,8,FALSE)&lt;&gt;0,VLOOKUP(D16,'Indicateurs - en cours'!$C$171:$J$187,8,FALSE),"")</f>
        <v/>
      </c>
      <c r="I16" s="97"/>
      <c r="K16" s="280">
        <v>30</v>
      </c>
      <c r="L16" s="437">
        <f>INDEX('Note finale'!$B$5:$AA$26,MATCH($A$13,'Note finale'!$B$5:$B$26,0),MATCH('Axe 5'!$E$16,'Note finale'!$B$4:$AA$4,0))</f>
        <v>1.107011070110701E-2</v>
      </c>
      <c r="M16" s="704"/>
      <c r="N16" s="609">
        <f t="shared" si="0"/>
        <v>0</v>
      </c>
      <c r="O16" s="632"/>
      <c r="P16" s="703"/>
      <c r="R16" s="702"/>
      <c r="S16" s="609">
        <f t="shared" si="1"/>
        <v>0</v>
      </c>
      <c r="T16" s="632"/>
      <c r="U16" s="703"/>
      <c r="W16" s="702"/>
      <c r="X16" s="609">
        <f t="shared" si="2"/>
        <v>0</v>
      </c>
      <c r="Y16" s="632"/>
      <c r="Z16" s="703"/>
    </row>
    <row r="17" spans="1:26" ht="7.5" customHeight="1" x14ac:dyDescent="0.25">
      <c r="A17" s="3"/>
      <c r="B17" s="10"/>
      <c r="C17" s="3"/>
      <c r="D17" s="409"/>
      <c r="E17" s="297"/>
      <c r="F17" s="3"/>
      <c r="G17" s="4"/>
      <c r="H17" s="69"/>
      <c r="I17" s="69"/>
      <c r="K17" s="141"/>
      <c r="L17" s="434"/>
      <c r="M17" s="696"/>
      <c r="N17" s="639"/>
      <c r="O17" s="709"/>
      <c r="P17" s="696"/>
      <c r="Q17" s="637"/>
      <c r="R17" s="696"/>
      <c r="S17" s="639"/>
      <c r="T17" s="709"/>
      <c r="U17" s="696"/>
      <c r="V17" s="637"/>
      <c r="W17" s="696"/>
      <c r="X17" s="639"/>
      <c r="Y17" s="709"/>
      <c r="Z17" s="696"/>
    </row>
    <row r="18" spans="1:26" ht="51" customHeight="1" x14ac:dyDescent="0.25">
      <c r="A18" s="843" t="s">
        <v>332</v>
      </c>
      <c r="B18" s="840" t="s">
        <v>333</v>
      </c>
      <c r="C18" s="836" t="s">
        <v>600</v>
      </c>
      <c r="D18" s="409">
        <v>11</v>
      </c>
      <c r="E18" s="904" t="s">
        <v>67</v>
      </c>
      <c r="F18" s="146" t="s">
        <v>68</v>
      </c>
      <c r="G18" s="261" t="s">
        <v>559</v>
      </c>
      <c r="H18" s="94" t="str">
        <f>IF(VLOOKUP(D18,'Indicateurs - en cours'!$C$171:$J$187,8,FALSE)&lt;&gt;0,VLOOKUP(D18,'Indicateurs - en cours'!$C$171:$J$187,8,FALSE),"")</f>
        <v>Nombre de conventions signées</v>
      </c>
      <c r="I18" s="81"/>
      <c r="K18" s="903">
        <v>30</v>
      </c>
      <c r="L18" s="435">
        <f>INDEX('Note finale'!$B$5:$AA$26,MATCH($A$18,'Note finale'!$B$5:$B$26,0),MATCH('Axe 5'!$E$18,'Note finale'!$B$4:$AA$4,0))</f>
        <v>5.5350553505535052E-3</v>
      </c>
      <c r="M18" s="705"/>
      <c r="N18" s="599">
        <f>L18*M18</f>
        <v>0</v>
      </c>
      <c r="O18" s="673"/>
      <c r="P18" s="706"/>
      <c r="R18" s="707"/>
      <c r="S18" s="599">
        <f t="shared" si="1"/>
        <v>0</v>
      </c>
      <c r="T18" s="673"/>
      <c r="U18" s="706"/>
      <c r="W18" s="707"/>
      <c r="X18" s="599">
        <f t="shared" si="2"/>
        <v>0</v>
      </c>
      <c r="Y18" s="673"/>
      <c r="Z18" s="706"/>
    </row>
    <row r="19" spans="1:26" ht="38.25" x14ac:dyDescent="0.25">
      <c r="A19" s="843"/>
      <c r="B19" s="840"/>
      <c r="C19" s="836"/>
      <c r="D19" s="409">
        <v>12</v>
      </c>
      <c r="E19" s="899"/>
      <c r="F19" s="147" t="s">
        <v>68</v>
      </c>
      <c r="G19" s="67" t="s">
        <v>933</v>
      </c>
      <c r="H19" s="68" t="str">
        <f>IF(VLOOKUP(D19,'Indicateurs - en cours'!$C$171:$J$187,8,FALSE)&lt;&gt;0,VLOOKUP(D19,'Indicateurs - en cours'!$C$171:$J$187,8,FALSE),"")</f>
        <v/>
      </c>
      <c r="I19" s="83" t="s">
        <v>394</v>
      </c>
      <c r="K19" s="898"/>
      <c r="L19" s="436">
        <f>INDEX('Note finale'!$B$5:$AA$26,MATCH($A$18,'Note finale'!$B$5:$B$26,0),MATCH('Axe 5'!$E$18,'Note finale'!$B$4:$AA$4,0))</f>
        <v>5.5350553505535052E-3</v>
      </c>
      <c r="M19" s="624"/>
      <c r="N19" s="603">
        <f t="shared" ref="N19:N24" si="3">L19*M19</f>
        <v>0</v>
      </c>
      <c r="O19" s="626"/>
      <c r="P19" s="625"/>
      <c r="R19" s="628"/>
      <c r="S19" s="603">
        <f t="shared" si="1"/>
        <v>0</v>
      </c>
      <c r="T19" s="626"/>
      <c r="U19" s="625"/>
      <c r="W19" s="628"/>
      <c r="X19" s="603">
        <f t="shared" si="2"/>
        <v>0</v>
      </c>
      <c r="Y19" s="626"/>
      <c r="Z19" s="625"/>
    </row>
    <row r="20" spans="1:26" ht="44.25" customHeight="1" x14ac:dyDescent="0.25">
      <c r="A20" s="843"/>
      <c r="B20" s="840"/>
      <c r="C20" s="836"/>
      <c r="D20" s="409">
        <v>13</v>
      </c>
      <c r="E20" s="899"/>
      <c r="F20" s="147" t="s">
        <v>68</v>
      </c>
      <c r="G20" s="67" t="s">
        <v>564</v>
      </c>
      <c r="H20" s="68" t="str">
        <f>IF(VLOOKUP(D20,'Indicateurs - en cours'!$C$171:$J$187,8,FALSE)&lt;&gt;0,VLOOKUP(D20,'Indicateurs - en cours'!$C$171:$J$187,8,FALSE),"")</f>
        <v/>
      </c>
      <c r="I20" s="83"/>
      <c r="K20" s="898"/>
      <c r="L20" s="436">
        <f>INDEX('Note finale'!$B$5:$AA$26,MATCH($A$18,'Note finale'!$B$5:$B$26,0),MATCH('Axe 5'!$E$18,'Note finale'!$B$4:$AA$4,0))</f>
        <v>5.5350553505535052E-3</v>
      </c>
      <c r="M20" s="621"/>
      <c r="N20" s="603">
        <f t="shared" si="3"/>
        <v>0</v>
      </c>
      <c r="O20" s="606"/>
      <c r="P20" s="622"/>
      <c r="R20" s="627"/>
      <c r="S20" s="603">
        <f t="shared" si="1"/>
        <v>0</v>
      </c>
      <c r="T20" s="606"/>
      <c r="U20" s="622"/>
      <c r="W20" s="627"/>
      <c r="X20" s="603">
        <f t="shared" si="2"/>
        <v>0</v>
      </c>
      <c r="Y20" s="606"/>
      <c r="Z20" s="622"/>
    </row>
    <row r="21" spans="1:26" ht="45" customHeight="1" x14ac:dyDescent="0.25">
      <c r="A21" s="843"/>
      <c r="B21" s="840"/>
      <c r="C21" s="836"/>
      <c r="D21" s="409">
        <v>14</v>
      </c>
      <c r="E21" s="899" t="s">
        <v>73</v>
      </c>
      <c r="F21" s="147" t="s">
        <v>68</v>
      </c>
      <c r="G21" s="61" t="s">
        <v>334</v>
      </c>
      <c r="H21" s="68" t="str">
        <f>IF(VLOOKUP(D21,'Indicateurs - en cours'!$C$171:$J$187,8,FALSE)&lt;&gt;0,VLOOKUP(D21,'Indicateurs - en cours'!$C$171:$J$187,8,FALSE),"")</f>
        <v/>
      </c>
      <c r="I21" s="83" t="s">
        <v>393</v>
      </c>
      <c r="K21" s="898">
        <v>60</v>
      </c>
      <c r="L21" s="436">
        <f>INDEX('Note finale'!$B$5:$AA$26,MATCH($A$18,'Note finale'!$B$5:$B$26,0),MATCH('Axe 5'!$E$21,'Note finale'!$B$4:$AA$4,0))</f>
        <v>1.107011070110701E-2</v>
      </c>
      <c r="M21" s="602"/>
      <c r="N21" s="603">
        <f t="shared" si="3"/>
        <v>0</v>
      </c>
      <c r="O21" s="630"/>
      <c r="P21" s="605"/>
      <c r="R21" s="613"/>
      <c r="S21" s="603">
        <f t="shared" si="1"/>
        <v>0</v>
      </c>
      <c r="T21" s="630"/>
      <c r="U21" s="605"/>
      <c r="W21" s="613"/>
      <c r="X21" s="603">
        <f t="shared" si="2"/>
        <v>0</v>
      </c>
      <c r="Y21" s="630"/>
      <c r="Z21" s="605"/>
    </row>
    <row r="22" spans="1:26" ht="51" x14ac:dyDescent="0.25">
      <c r="A22" s="843"/>
      <c r="B22" s="840"/>
      <c r="C22" s="836"/>
      <c r="D22" s="409">
        <v>15</v>
      </c>
      <c r="E22" s="899"/>
      <c r="F22" s="147" t="s">
        <v>146</v>
      </c>
      <c r="G22" s="61" t="s">
        <v>335</v>
      </c>
      <c r="H22" s="68" t="str">
        <f>IF(VLOOKUP(D22,'Indicateurs - en cours'!$C$171:$J$187,8,FALSE)&lt;&gt;0,VLOOKUP(D22,'Indicateurs - en cours'!$C$171:$J$187,8,FALSE),"")</f>
        <v>Nombre total de participants aux réunions sensibilisés</v>
      </c>
      <c r="I22" s="83" t="s">
        <v>692</v>
      </c>
      <c r="K22" s="898"/>
      <c r="L22" s="436">
        <f>IF(Préambule!E45="Non",0,INDEX('Note finale'!$B$5:$AA$26,MATCH($A$18,'Note finale'!$B$5:$B$26,0),MATCH('Axe 5'!$E$21,'Note finale'!$B$4:$AA$4,0)))</f>
        <v>1.107011070110701E-2</v>
      </c>
      <c r="M22" s="602"/>
      <c r="N22" s="603">
        <f t="shared" si="3"/>
        <v>0</v>
      </c>
      <c r="O22" s="607"/>
      <c r="P22" s="605"/>
      <c r="R22" s="613"/>
      <c r="S22" s="603">
        <f t="shared" si="1"/>
        <v>0</v>
      </c>
      <c r="T22" s="607"/>
      <c r="U22" s="605"/>
      <c r="W22" s="613"/>
      <c r="X22" s="603">
        <f t="shared" si="2"/>
        <v>0</v>
      </c>
      <c r="Y22" s="607"/>
      <c r="Z22" s="605"/>
    </row>
    <row r="23" spans="1:26" ht="51" customHeight="1" x14ac:dyDescent="0.25">
      <c r="A23" s="843"/>
      <c r="B23" s="840"/>
      <c r="C23" s="836"/>
      <c r="D23" s="409">
        <v>16</v>
      </c>
      <c r="E23" s="899"/>
      <c r="F23" s="147" t="s">
        <v>68</v>
      </c>
      <c r="G23" s="61" t="s">
        <v>336</v>
      </c>
      <c r="H23" s="68" t="str">
        <f>IF(VLOOKUP(D23,'Indicateurs - en cours'!$C$171:$J$187,8,FALSE)&lt;&gt;0,VLOOKUP(D23,'Indicateurs - en cours'!$C$171:$J$187,8,FALSE),"")</f>
        <v/>
      </c>
      <c r="I23" s="83"/>
      <c r="K23" s="898"/>
      <c r="L23" s="436">
        <f>INDEX('Note finale'!$B$5:$AA$26,MATCH($A$18,'Note finale'!$B$5:$B$26,0),MATCH('Axe 5'!$E$21,'Note finale'!$B$4:$AA$4,0))</f>
        <v>1.107011070110701E-2</v>
      </c>
      <c r="M23" s="602"/>
      <c r="N23" s="603">
        <f t="shared" si="3"/>
        <v>0</v>
      </c>
      <c r="O23" s="607"/>
      <c r="P23" s="605"/>
      <c r="R23" s="613"/>
      <c r="S23" s="603">
        <f t="shared" si="1"/>
        <v>0</v>
      </c>
      <c r="T23" s="607"/>
      <c r="U23" s="605"/>
      <c r="W23" s="613"/>
      <c r="X23" s="603">
        <f t="shared" si="2"/>
        <v>0</v>
      </c>
      <c r="Y23" s="607"/>
      <c r="Z23" s="605"/>
    </row>
    <row r="24" spans="1:26" ht="51" x14ac:dyDescent="0.25">
      <c r="A24" s="843"/>
      <c r="B24" s="840"/>
      <c r="C24" s="836"/>
      <c r="D24" s="409">
        <v>17</v>
      </c>
      <c r="E24" s="495" t="s">
        <v>75</v>
      </c>
      <c r="F24" s="148" t="s">
        <v>68</v>
      </c>
      <c r="G24" s="63" t="s">
        <v>337</v>
      </c>
      <c r="H24" s="64" t="str">
        <f>IF(VLOOKUP(D24,'Indicateurs - en cours'!$C$171:$J$187,8,FALSE)&lt;&gt;0,VLOOKUP(D24,'Indicateurs - en cours'!$C$171:$J$187,8,FALSE),"")</f>
        <v>Les données collectées et les cartographies réalisées dans le cadre de la politique EC sont effectivement transmises par la CL aux entreprises et têtes de réseaux.</v>
      </c>
      <c r="I24" s="97" t="s">
        <v>338</v>
      </c>
      <c r="K24" s="280">
        <v>10</v>
      </c>
      <c r="L24" s="437">
        <f>INDEX('Note finale'!$B$5:$AA$26,MATCH($A$18,'Note finale'!$B$5:$B$26,0),MATCH('Axe 5'!$E$24,'Note finale'!$B$4:$AA$4,0))</f>
        <v>5.5350553505535052E-3</v>
      </c>
      <c r="M24" s="608"/>
      <c r="N24" s="609">
        <f t="shared" si="3"/>
        <v>0</v>
      </c>
      <c r="O24" s="712"/>
      <c r="P24" s="611"/>
      <c r="R24" s="614"/>
      <c r="S24" s="609">
        <f t="shared" si="1"/>
        <v>0</v>
      </c>
      <c r="T24" s="712"/>
      <c r="U24" s="611"/>
      <c r="W24" s="614"/>
      <c r="X24" s="609">
        <f t="shared" si="2"/>
        <v>0</v>
      </c>
      <c r="Y24" s="712"/>
      <c r="Z24" s="611"/>
    </row>
    <row r="25" spans="1:26" x14ac:dyDescent="0.25">
      <c r="I25" s="175"/>
    </row>
  </sheetData>
  <sheetProtection algorithmName="SHA-512" hashValue="eI7J4BsPKZl1Q0HF5ChlawY5l3SOdozNINRY9r+jUvskmCZ94EEqgMQ6LLvIiVufwA6G0cixVIVe/Tsoe7GOgw==" saltValue="CEAYHsnR6d7EN5SV2H6Wvg==" spinCount="100000" sheet="1" selectLockedCells="1"/>
  <mergeCells count="26">
    <mergeCell ref="A1:O1"/>
    <mergeCell ref="C3:C4"/>
    <mergeCell ref="B3:B4"/>
    <mergeCell ref="C6:C11"/>
    <mergeCell ref="B6:B11"/>
    <mergeCell ref="A6:A11"/>
    <mergeCell ref="A18:A24"/>
    <mergeCell ref="B18:B24"/>
    <mergeCell ref="C18:C24"/>
    <mergeCell ref="A13:A16"/>
    <mergeCell ref="B13:B16"/>
    <mergeCell ref="C13:C16"/>
    <mergeCell ref="K21:K23"/>
    <mergeCell ref="K18:K20"/>
    <mergeCell ref="K14:K15"/>
    <mergeCell ref="E21:E23"/>
    <mergeCell ref="E18:E20"/>
    <mergeCell ref="R3:U3"/>
    <mergeCell ref="W3:Z3"/>
    <mergeCell ref="M3:P3"/>
    <mergeCell ref="E14:E15"/>
    <mergeCell ref="E3:I3"/>
    <mergeCell ref="K6:K7"/>
    <mergeCell ref="K8:K10"/>
    <mergeCell ref="E6:E7"/>
    <mergeCell ref="E8:E10"/>
  </mergeCells>
  <conditionalFormatting sqref="L6:L11 L13:L16 L18:L24">
    <cfRule type="cellIs" dxfId="8" priority="23" operator="greaterThan">
      <formula>0.01</formula>
    </cfRule>
  </conditionalFormatting>
  <pageMargins left="0.25" right="0.25" top="0.75" bottom="0.75" header="0.3" footer="0.3"/>
  <pageSetup paperSize="8" scale="55"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 id="{3EE5F37B-44ED-4B65-AA65-E843160ED125}">
            <xm:f>Préambule!$E$45="Non"</xm:f>
            <x14:dxf>
              <fill>
                <patternFill patternType="lightUp">
                  <fgColor theme="0" tint="-0.499984740745262"/>
                </patternFill>
              </fill>
            </x14:dxf>
          </x14:cfRule>
          <xm:sqref>F22:Z22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29"/>
  <sheetViews>
    <sheetView showGridLines="0" zoomScale="80" workbookViewId="0"/>
  </sheetViews>
  <sheetFormatPr baseColWidth="10" defaultColWidth="11.42578125" defaultRowHeight="15" x14ac:dyDescent="0.25"/>
  <cols>
    <col min="2" max="2" width="16.7109375" customWidth="1"/>
    <col min="3" max="3" width="30.42578125" customWidth="1"/>
    <col min="4" max="5" width="30.7109375" customWidth="1"/>
    <col min="6" max="7" width="30.42578125" customWidth="1"/>
  </cols>
  <sheetData>
    <row r="1" spans="1:8" ht="34.5" customHeight="1" x14ac:dyDescent="0.25">
      <c r="B1" s="926" t="s">
        <v>216</v>
      </c>
      <c r="C1" s="927"/>
      <c r="D1" s="927"/>
      <c r="E1" s="927"/>
      <c r="F1" s="927"/>
      <c r="G1" s="927"/>
      <c r="H1" s="156"/>
    </row>
    <row r="2" spans="1:8" x14ac:dyDescent="0.25">
      <c r="B2" s="919" t="s">
        <v>217</v>
      </c>
      <c r="C2" s="920"/>
      <c r="D2" s="920"/>
      <c r="E2" s="920"/>
      <c r="F2" s="920"/>
      <c r="G2" s="921"/>
      <c r="H2" s="156"/>
    </row>
    <row r="3" spans="1:8" x14ac:dyDescent="0.25">
      <c r="B3" s="916" t="s">
        <v>218</v>
      </c>
      <c r="C3" s="917"/>
      <c r="D3" s="917"/>
      <c r="E3" s="917"/>
      <c r="F3" s="917"/>
      <c r="G3" s="918"/>
    </row>
    <row r="4" spans="1:8" ht="9" customHeight="1" x14ac:dyDescent="0.25"/>
    <row r="5" spans="1:8" ht="13.5" customHeight="1" x14ac:dyDescent="0.25">
      <c r="B5" s="919" t="s">
        <v>219</v>
      </c>
      <c r="C5" s="920"/>
      <c r="D5" s="920"/>
      <c r="E5" s="920"/>
      <c r="F5" s="920"/>
      <c r="G5" s="921"/>
    </row>
    <row r="6" spans="1:8" ht="13.5" customHeight="1" x14ac:dyDescent="0.25">
      <c r="B6" s="916" t="s">
        <v>218</v>
      </c>
      <c r="C6" s="917"/>
      <c r="D6" s="917"/>
      <c r="E6" s="917"/>
      <c r="F6" s="917"/>
      <c r="G6" s="918"/>
    </row>
    <row r="7" spans="1:8" ht="9" customHeight="1" x14ac:dyDescent="0.25">
      <c r="B7" s="157"/>
      <c r="C7" s="157"/>
      <c r="D7" s="157"/>
      <c r="E7" s="157"/>
      <c r="F7" s="157"/>
      <c r="G7" s="157"/>
    </row>
    <row r="8" spans="1:8" ht="13.5" customHeight="1" x14ac:dyDescent="0.25">
      <c r="B8" s="928" t="s">
        <v>220</v>
      </c>
      <c r="C8" s="929"/>
      <c r="D8" s="929"/>
      <c r="E8" s="929"/>
      <c r="F8" s="929"/>
      <c r="G8" s="930"/>
    </row>
    <row r="9" spans="1:8" ht="13.5" customHeight="1" x14ac:dyDescent="0.25">
      <c r="B9" s="916" t="s">
        <v>218</v>
      </c>
      <c r="C9" s="917"/>
      <c r="D9" s="917"/>
      <c r="E9" s="917"/>
      <c r="F9" s="917"/>
      <c r="G9" s="918"/>
    </row>
    <row r="10" spans="1:8" ht="9" customHeight="1" x14ac:dyDescent="0.25"/>
    <row r="11" spans="1:8" ht="13.5" customHeight="1" x14ac:dyDescent="0.25">
      <c r="B11" s="919" t="s">
        <v>221</v>
      </c>
      <c r="C11" s="920"/>
      <c r="D11" s="920"/>
      <c r="E11" s="920"/>
      <c r="F11" s="920"/>
      <c r="G11" s="921"/>
    </row>
    <row r="12" spans="1:8" ht="13.5" customHeight="1" x14ac:dyDescent="0.25">
      <c r="B12" s="916" t="s">
        <v>218</v>
      </c>
      <c r="C12" s="917"/>
      <c r="D12" s="917"/>
      <c r="E12" s="917"/>
      <c r="F12" s="917"/>
      <c r="G12" s="918"/>
    </row>
    <row r="13" spans="1:8" ht="9" customHeight="1" x14ac:dyDescent="0.25"/>
    <row r="14" spans="1:8" ht="13.5" customHeight="1" x14ac:dyDescent="0.25">
      <c r="B14" s="922" t="s">
        <v>222</v>
      </c>
      <c r="C14" s="923"/>
      <c r="D14" s="923"/>
      <c r="E14" s="923"/>
      <c r="F14" s="923"/>
      <c r="G14" s="924"/>
    </row>
    <row r="15" spans="1:8" ht="91.5" customHeight="1" x14ac:dyDescent="0.25">
      <c r="B15" s="158" t="s">
        <v>223</v>
      </c>
    </row>
    <row r="16" spans="1:8" ht="45" customHeight="1" x14ac:dyDescent="0.25">
      <c r="A16" s="925" t="s">
        <v>224</v>
      </c>
      <c r="B16" s="159" t="s">
        <v>225</v>
      </c>
      <c r="C16" s="160" t="s">
        <v>226</v>
      </c>
      <c r="D16" s="101"/>
      <c r="E16" s="101"/>
      <c r="F16" s="101"/>
      <c r="G16" s="101"/>
    </row>
    <row r="17" spans="1:8" ht="45" customHeight="1" x14ac:dyDescent="0.25">
      <c r="A17" s="925"/>
      <c r="B17" s="159" t="s">
        <v>227</v>
      </c>
      <c r="C17" s="101"/>
      <c r="D17" s="101"/>
      <c r="E17" s="161" t="s">
        <v>226</v>
      </c>
      <c r="F17" s="101"/>
      <c r="G17" s="101"/>
    </row>
    <row r="18" spans="1:8" ht="45" customHeight="1" x14ac:dyDescent="0.25">
      <c r="A18" s="925"/>
      <c r="B18" s="159" t="s">
        <v>228</v>
      </c>
      <c r="C18" s="101"/>
      <c r="D18" s="162" t="s">
        <v>226</v>
      </c>
      <c r="E18" s="101"/>
      <c r="F18" s="101"/>
      <c r="G18" s="101"/>
    </row>
    <row r="19" spans="1:8" ht="45" customHeight="1" x14ac:dyDescent="0.25">
      <c r="A19" s="925"/>
      <c r="B19" s="159" t="s">
        <v>229</v>
      </c>
      <c r="C19" s="101"/>
      <c r="D19" s="101"/>
      <c r="E19" s="101"/>
      <c r="F19" s="160" t="s">
        <v>226</v>
      </c>
      <c r="G19" s="101"/>
    </row>
    <row r="20" spans="1:8" ht="45" customHeight="1" x14ac:dyDescent="0.25">
      <c r="A20" s="925"/>
      <c r="B20" s="159" t="s">
        <v>230</v>
      </c>
      <c r="C20" s="163" t="s">
        <v>226</v>
      </c>
      <c r="D20" s="101"/>
      <c r="E20" s="101"/>
      <c r="F20" s="101"/>
      <c r="G20" s="160" t="s">
        <v>226</v>
      </c>
    </row>
    <row r="21" spans="1:8" ht="45" customHeight="1" x14ac:dyDescent="0.25">
      <c r="A21" s="925"/>
      <c r="B21" s="159" t="s">
        <v>231</v>
      </c>
      <c r="C21" s="101"/>
      <c r="D21" s="101"/>
      <c r="E21" s="101"/>
      <c r="F21" s="101"/>
      <c r="G21" s="101"/>
    </row>
    <row r="22" spans="1:8" ht="15" customHeight="1" x14ac:dyDescent="0.25">
      <c r="A22" s="164"/>
      <c r="B22" s="165"/>
    </row>
    <row r="23" spans="1:8" ht="89.25" x14ac:dyDescent="0.25">
      <c r="A23" s="164"/>
      <c r="B23" s="166" t="s">
        <v>232</v>
      </c>
      <c r="C23" s="226" t="s">
        <v>233</v>
      </c>
      <c r="D23" s="192" t="s">
        <v>234</v>
      </c>
      <c r="E23" s="193" t="s">
        <v>235</v>
      </c>
    </row>
    <row r="24" spans="1:8" ht="15" customHeight="1" x14ac:dyDescent="0.25">
      <c r="B24" s="165"/>
      <c r="H24" s="167"/>
    </row>
    <row r="25" spans="1:8" ht="13.5" customHeight="1" x14ac:dyDescent="0.25">
      <c r="B25" s="913" t="s">
        <v>236</v>
      </c>
      <c r="C25" s="914"/>
      <c r="D25" s="914"/>
      <c r="E25" s="914"/>
      <c r="F25" s="914"/>
      <c r="G25" s="915"/>
    </row>
    <row r="26" spans="1:8" ht="13.5" customHeight="1" x14ac:dyDescent="0.25">
      <c r="B26" s="910" t="s">
        <v>237</v>
      </c>
      <c r="C26" s="911"/>
      <c r="D26" s="911"/>
      <c r="E26" s="911"/>
      <c r="F26" s="911"/>
      <c r="G26" s="912"/>
    </row>
    <row r="27" spans="1:8" ht="6" customHeight="1" x14ac:dyDescent="0.25"/>
    <row r="28" spans="1:8" ht="13.5" customHeight="1" x14ac:dyDescent="0.25">
      <c r="B28" s="913" t="s">
        <v>238</v>
      </c>
      <c r="C28" s="914"/>
      <c r="D28" s="914"/>
      <c r="E28" s="914"/>
      <c r="F28" s="914"/>
      <c r="G28" s="915"/>
    </row>
    <row r="29" spans="1:8" ht="13.5" customHeight="1" x14ac:dyDescent="0.25">
      <c r="B29" s="910" t="s">
        <v>237</v>
      </c>
      <c r="C29" s="911"/>
      <c r="D29" s="911"/>
      <c r="E29" s="911"/>
      <c r="F29" s="911"/>
      <c r="G29" s="912"/>
    </row>
  </sheetData>
  <mergeCells count="15">
    <mergeCell ref="A16:A21"/>
    <mergeCell ref="B25:G25"/>
    <mergeCell ref="B1:G1"/>
    <mergeCell ref="B2:G2"/>
    <mergeCell ref="B3:G3"/>
    <mergeCell ref="B5:G5"/>
    <mergeCell ref="B6:G6"/>
    <mergeCell ref="B8:G8"/>
    <mergeCell ref="B26:G26"/>
    <mergeCell ref="B28:G28"/>
    <mergeCell ref="B29:G29"/>
    <mergeCell ref="B9:G9"/>
    <mergeCell ref="B11:G11"/>
    <mergeCell ref="B12:G12"/>
    <mergeCell ref="B14:G14"/>
  </mergeCells>
  <pageMargins left="0.25" right="0.25" top="0.75" bottom="0.75" header="0.3" footer="0.3"/>
  <pageSetup paperSize="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41"/>
  <sheetViews>
    <sheetView showGridLines="0" zoomScale="80" zoomScaleNormal="80" workbookViewId="0"/>
  </sheetViews>
  <sheetFormatPr baseColWidth="10" defaultColWidth="11.42578125" defaultRowHeight="15" x14ac:dyDescent="0.25"/>
  <cols>
    <col min="1" max="1" width="2.5703125" customWidth="1"/>
    <col min="2" max="2" width="18" style="198" customWidth="1"/>
    <col min="3" max="6" width="30.5703125" customWidth="1"/>
    <col min="7" max="7" width="38.7109375" customWidth="1"/>
  </cols>
  <sheetData>
    <row r="1" spans="2:8" ht="34.5" customHeight="1" x14ac:dyDescent="0.25">
      <c r="B1" s="926" t="s">
        <v>239</v>
      </c>
      <c r="C1" s="927"/>
      <c r="D1" s="927"/>
      <c r="E1" s="927"/>
      <c r="F1" s="927"/>
      <c r="G1" s="927"/>
      <c r="H1" s="156"/>
    </row>
    <row r="2" spans="2:8" ht="4.5" customHeight="1" x14ac:dyDescent="0.25">
      <c r="B2" s="225"/>
      <c r="C2" s="1"/>
      <c r="D2" s="1"/>
      <c r="E2" s="1"/>
      <c r="F2" s="1"/>
      <c r="G2" s="1"/>
    </row>
    <row r="3" spans="2:8" x14ac:dyDescent="0.25">
      <c r="B3" s="941" t="s">
        <v>217</v>
      </c>
      <c r="C3" s="942"/>
      <c r="D3" s="942"/>
      <c r="E3" s="942"/>
      <c r="F3" s="942"/>
      <c r="G3" s="943"/>
      <c r="H3" s="156"/>
    </row>
    <row r="4" spans="2:8" ht="25.5" customHeight="1" x14ac:dyDescent="0.25">
      <c r="B4" s="938" t="s">
        <v>369</v>
      </c>
      <c r="C4" s="939"/>
      <c r="D4" s="939"/>
      <c r="E4" s="939"/>
      <c r="F4" s="939"/>
      <c r="G4" s="940"/>
    </row>
    <row r="5" spans="2:8" ht="8.25" customHeight="1" x14ac:dyDescent="0.25">
      <c r="B5" s="225"/>
      <c r="C5" s="1"/>
      <c r="D5" s="1"/>
      <c r="E5" s="1"/>
      <c r="F5" s="1"/>
      <c r="G5" s="1"/>
    </row>
    <row r="6" spans="2:8" x14ac:dyDescent="0.25">
      <c r="B6" s="941" t="s">
        <v>219</v>
      </c>
      <c r="C6" s="942"/>
      <c r="D6" s="942"/>
      <c r="E6" s="942"/>
      <c r="F6" s="942"/>
      <c r="G6" s="943"/>
    </row>
    <row r="7" spans="2:8" ht="37.5" customHeight="1" x14ac:dyDescent="0.25">
      <c r="B7" s="938" t="s">
        <v>240</v>
      </c>
      <c r="C7" s="939"/>
      <c r="D7" s="939"/>
      <c r="E7" s="939"/>
      <c r="F7" s="939"/>
      <c r="G7" s="940"/>
    </row>
    <row r="8" spans="2:8" ht="8.25" customHeight="1" x14ac:dyDescent="0.25">
      <c r="B8" s="231"/>
      <c r="C8" s="232"/>
      <c r="D8" s="232"/>
      <c r="E8" s="232"/>
      <c r="F8" s="232"/>
      <c r="G8" s="232"/>
    </row>
    <row r="9" spans="2:8" x14ac:dyDescent="0.25">
      <c r="B9" s="960" t="s">
        <v>220</v>
      </c>
      <c r="C9" s="961"/>
      <c r="D9" s="961"/>
      <c r="E9" s="961"/>
      <c r="F9" s="961"/>
      <c r="G9" s="962"/>
    </row>
    <row r="10" spans="2:8" ht="342" customHeight="1" x14ac:dyDescent="0.25">
      <c r="B10" s="938" t="s">
        <v>550</v>
      </c>
      <c r="C10" s="939"/>
      <c r="D10" s="939"/>
      <c r="E10" s="939"/>
      <c r="F10" s="939"/>
      <c r="G10" s="940"/>
    </row>
    <row r="11" spans="2:8" ht="256.5" customHeight="1" x14ac:dyDescent="0.25">
      <c r="B11" s="938" t="s">
        <v>368</v>
      </c>
      <c r="C11" s="939"/>
      <c r="D11" s="939"/>
      <c r="E11" s="939"/>
      <c r="F11" s="939"/>
      <c r="G11" s="940"/>
    </row>
    <row r="12" spans="2:8" ht="409.5" customHeight="1" x14ac:dyDescent="0.25">
      <c r="B12" s="938" t="s">
        <v>551</v>
      </c>
      <c r="C12" s="939"/>
      <c r="D12" s="939"/>
      <c r="E12" s="939"/>
      <c r="F12" s="939"/>
      <c r="G12" s="940"/>
    </row>
    <row r="13" spans="2:8" ht="8.25" customHeight="1" x14ac:dyDescent="0.25">
      <c r="B13" s="225"/>
      <c r="C13" s="1"/>
      <c r="D13" s="1"/>
      <c r="E13" s="1"/>
      <c r="F13" s="1"/>
      <c r="G13" s="1"/>
    </row>
    <row r="14" spans="2:8" x14ac:dyDescent="0.25">
      <c r="B14" s="941" t="s">
        <v>221</v>
      </c>
      <c r="C14" s="942"/>
      <c r="D14" s="942"/>
      <c r="E14" s="942"/>
      <c r="F14" s="942"/>
      <c r="G14" s="943"/>
    </row>
    <row r="15" spans="2:8" ht="233.25" customHeight="1" x14ac:dyDescent="0.25">
      <c r="B15" s="944" t="s">
        <v>241</v>
      </c>
      <c r="C15" s="945"/>
      <c r="D15" s="945"/>
      <c r="E15" s="945"/>
      <c r="F15" s="945"/>
      <c r="G15" s="946"/>
    </row>
    <row r="16" spans="2:8" ht="9.75" customHeight="1" x14ac:dyDescent="0.25">
      <c r="B16" s="225"/>
      <c r="C16" s="1"/>
      <c r="D16" s="1"/>
      <c r="E16" s="1"/>
      <c r="F16" s="1"/>
      <c r="G16" s="1"/>
    </row>
    <row r="17" spans="1:7" ht="18" customHeight="1" x14ac:dyDescent="0.25">
      <c r="B17" s="947" t="s">
        <v>222</v>
      </c>
      <c r="C17" s="948"/>
      <c r="D17" s="948"/>
      <c r="E17" s="948"/>
      <c r="F17" s="948"/>
      <c r="G17" s="949"/>
    </row>
    <row r="18" spans="1:7" s="1" customFormat="1" ht="86.25" customHeight="1" x14ac:dyDescent="0.2">
      <c r="B18" s="194" t="s">
        <v>223</v>
      </c>
    </row>
    <row r="19" spans="1:7" s="1" customFormat="1" ht="12.75" x14ac:dyDescent="0.2">
      <c r="A19" s="953" t="s">
        <v>224</v>
      </c>
      <c r="B19" s="184" t="s">
        <v>242</v>
      </c>
      <c r="C19" s="227"/>
      <c r="D19" s="228"/>
      <c r="E19" s="228"/>
      <c r="F19" s="228"/>
      <c r="G19" s="228"/>
    </row>
    <row r="20" spans="1:7" s="1" customFormat="1" ht="25.5" x14ac:dyDescent="0.2">
      <c r="A20" s="953"/>
      <c r="B20" s="184" t="s">
        <v>243</v>
      </c>
      <c r="C20" s="228"/>
      <c r="D20" s="228"/>
      <c r="E20" s="227"/>
      <c r="F20" s="228"/>
      <c r="G20" s="228"/>
    </row>
    <row r="21" spans="1:7" s="1" customFormat="1" ht="45" x14ac:dyDescent="0.2">
      <c r="A21" s="953"/>
      <c r="B21" s="184" t="s">
        <v>244</v>
      </c>
      <c r="C21" s="228"/>
      <c r="D21" s="229"/>
      <c r="E21" s="228"/>
      <c r="F21" s="230"/>
      <c r="G21" s="195" t="s">
        <v>245</v>
      </c>
    </row>
    <row r="22" spans="1:7" s="1" customFormat="1" ht="12.75" x14ac:dyDescent="0.2">
      <c r="A22" s="953"/>
      <c r="B22" s="184" t="s">
        <v>246</v>
      </c>
      <c r="C22" s="954" t="s">
        <v>247</v>
      </c>
      <c r="D22" s="229"/>
      <c r="E22" s="954" t="s">
        <v>248</v>
      </c>
      <c r="F22" s="957" t="s">
        <v>249</v>
      </c>
      <c r="G22" s="228"/>
    </row>
    <row r="23" spans="1:7" s="1" customFormat="1" ht="12.75" x14ac:dyDescent="0.2">
      <c r="A23" s="953"/>
      <c r="B23" s="184" t="s">
        <v>250</v>
      </c>
      <c r="C23" s="955"/>
      <c r="D23" s="228"/>
      <c r="E23" s="955"/>
      <c r="F23" s="958"/>
      <c r="G23" s="228"/>
    </row>
    <row r="24" spans="1:7" s="1" customFormat="1" ht="12.75" x14ac:dyDescent="0.2">
      <c r="A24" s="953"/>
      <c r="B24" s="184" t="s">
        <v>251</v>
      </c>
      <c r="C24" s="955"/>
      <c r="D24" s="228"/>
      <c r="E24" s="955"/>
      <c r="F24" s="958"/>
      <c r="G24" s="228"/>
    </row>
    <row r="25" spans="1:7" s="1" customFormat="1" ht="51" x14ac:dyDescent="0.2">
      <c r="A25" s="953"/>
      <c r="B25" s="184" t="s">
        <v>252</v>
      </c>
      <c r="C25" s="955"/>
      <c r="D25" s="229" t="s">
        <v>247</v>
      </c>
      <c r="E25" s="955"/>
      <c r="F25" s="958"/>
      <c r="G25" s="227"/>
    </row>
    <row r="26" spans="1:7" s="1" customFormat="1" ht="12.75" x14ac:dyDescent="0.2">
      <c r="A26" s="953"/>
      <c r="B26" s="184" t="s">
        <v>253</v>
      </c>
      <c r="C26" s="955"/>
      <c r="D26" s="228"/>
      <c r="E26" s="956"/>
      <c r="F26" s="959"/>
      <c r="G26" s="227"/>
    </row>
    <row r="27" spans="1:7" s="1" customFormat="1" ht="89.25" x14ac:dyDescent="0.2">
      <c r="A27" s="953"/>
      <c r="B27" s="184" t="s">
        <v>254</v>
      </c>
      <c r="C27" s="956"/>
      <c r="D27" s="229" t="s">
        <v>255</v>
      </c>
      <c r="E27" s="228"/>
      <c r="F27" s="228"/>
      <c r="G27" s="195" t="s">
        <v>245</v>
      </c>
    </row>
    <row r="28" spans="1:7" s="1" customFormat="1" ht="90" x14ac:dyDescent="0.2">
      <c r="A28" s="953"/>
      <c r="B28" s="184" t="s">
        <v>256</v>
      </c>
      <c r="C28" s="227"/>
      <c r="D28" s="228"/>
      <c r="E28" s="228"/>
      <c r="F28" s="228"/>
      <c r="G28" s="229" t="s">
        <v>257</v>
      </c>
    </row>
    <row r="29" spans="1:7" s="1" customFormat="1" ht="51" x14ac:dyDescent="0.2">
      <c r="A29" s="953"/>
      <c r="B29" s="184" t="s">
        <v>258</v>
      </c>
      <c r="C29" s="229" t="s">
        <v>247</v>
      </c>
      <c r="D29" s="228"/>
      <c r="E29" s="228"/>
      <c r="F29" s="228"/>
      <c r="G29" s="227"/>
    </row>
    <row r="30" spans="1:7" s="1" customFormat="1" ht="25.5" x14ac:dyDescent="0.2">
      <c r="A30" s="953"/>
      <c r="B30" s="184" t="s">
        <v>259</v>
      </c>
      <c r="C30" s="227"/>
      <c r="D30" s="228"/>
      <c r="E30" s="228"/>
      <c r="F30" s="228"/>
      <c r="G30" s="227"/>
    </row>
    <row r="31" spans="1:7" s="1" customFormat="1" ht="25.5" x14ac:dyDescent="0.2">
      <c r="A31" s="953"/>
      <c r="B31" s="184" t="s">
        <v>260</v>
      </c>
      <c r="C31" s="227"/>
      <c r="D31" s="228"/>
      <c r="E31" s="228"/>
      <c r="F31" s="228"/>
      <c r="G31" s="229" t="s">
        <v>261</v>
      </c>
    </row>
    <row r="32" spans="1:7" s="1" customFormat="1" ht="51" x14ac:dyDescent="0.2">
      <c r="A32" s="953"/>
      <c r="B32" s="184" t="s">
        <v>262</v>
      </c>
      <c r="C32" s="229" t="s">
        <v>247</v>
      </c>
      <c r="D32" s="228"/>
      <c r="E32" s="229" t="s">
        <v>263</v>
      </c>
      <c r="F32" s="228"/>
      <c r="G32" s="227"/>
    </row>
    <row r="33" spans="1:7" ht="9" customHeight="1" x14ac:dyDescent="0.25">
      <c r="A33" s="164"/>
      <c r="B33" s="233"/>
      <c r="C33" s="1"/>
      <c r="D33" s="1"/>
      <c r="E33" s="1"/>
      <c r="F33" s="1"/>
      <c r="G33" s="1"/>
    </row>
    <row r="34" spans="1:7" s="197" customFormat="1" ht="84.75" customHeight="1" x14ac:dyDescent="0.2">
      <c r="A34" s="196"/>
      <c r="B34" s="190" t="s">
        <v>232</v>
      </c>
      <c r="C34" s="226" t="s">
        <v>233</v>
      </c>
      <c r="D34" s="192" t="s">
        <v>234</v>
      </c>
      <c r="E34" s="193" t="s">
        <v>235</v>
      </c>
      <c r="F34" s="1"/>
      <c r="G34" s="1"/>
    </row>
    <row r="35" spans="1:7" s="197" customFormat="1" ht="14.25" customHeight="1" x14ac:dyDescent="0.2">
      <c r="A35" s="196"/>
      <c r="B35" s="190"/>
      <c r="C35" s="226"/>
      <c r="D35" s="192"/>
      <c r="E35" s="193"/>
      <c r="F35" s="1"/>
      <c r="G35" s="1"/>
    </row>
    <row r="36" spans="1:7" ht="15" customHeight="1" x14ac:dyDescent="0.25">
      <c r="B36" s="931" t="s">
        <v>236</v>
      </c>
      <c r="C36" s="932"/>
      <c r="D36" s="932"/>
      <c r="E36" s="932"/>
      <c r="F36" s="932"/>
      <c r="G36" s="933"/>
    </row>
    <row r="37" spans="1:7" ht="409.5" customHeight="1" x14ac:dyDescent="0.25">
      <c r="B37" s="934" t="s">
        <v>552</v>
      </c>
      <c r="C37" s="935"/>
      <c r="D37" s="935"/>
      <c r="E37" s="935"/>
      <c r="F37" s="935"/>
      <c r="G37" s="936"/>
    </row>
    <row r="38" spans="1:7" ht="173.25" customHeight="1" x14ac:dyDescent="0.25">
      <c r="B38" s="950" t="s">
        <v>905</v>
      </c>
      <c r="C38" s="951"/>
      <c r="D38" s="951"/>
      <c r="E38" s="951"/>
      <c r="F38" s="951"/>
      <c r="G38" s="952"/>
    </row>
    <row r="40" spans="1:7" x14ac:dyDescent="0.25">
      <c r="B40" s="913" t="s">
        <v>238</v>
      </c>
      <c r="C40" s="914"/>
      <c r="D40" s="914"/>
      <c r="E40" s="914"/>
      <c r="F40" s="914"/>
      <c r="G40" s="915"/>
    </row>
    <row r="41" spans="1:7" ht="211.5" customHeight="1" x14ac:dyDescent="0.25">
      <c r="B41" s="937" t="s">
        <v>553</v>
      </c>
      <c r="C41" s="911"/>
      <c r="D41" s="911"/>
      <c r="E41" s="911"/>
      <c r="F41" s="911"/>
      <c r="G41" s="912"/>
    </row>
  </sheetData>
  <sheetProtection algorithmName="SHA-512" hashValue="Rm+sXpyFf8VlWqA/TPRycOhY8REc0I2RC8h/8ylsyGotbY3pqUipgbUhEpHjjW9dlxltc8iLIaeHg0pbSqFoNQ==" saltValue="7TThMTdEXglaZVC5uM/0jQ==" spinCount="100000" sheet="1" objects="1" scenarios="1" selectLockedCells="1" selectUnlockedCells="1"/>
  <mergeCells count="21">
    <mergeCell ref="A19:A32"/>
    <mergeCell ref="C22:C27"/>
    <mergeCell ref="E22:E26"/>
    <mergeCell ref="F22:F26"/>
    <mergeCell ref="B1:G1"/>
    <mergeCell ref="B3:G3"/>
    <mergeCell ref="B4:G4"/>
    <mergeCell ref="B6:G6"/>
    <mergeCell ref="B7:G7"/>
    <mergeCell ref="B9:G9"/>
    <mergeCell ref="B36:G36"/>
    <mergeCell ref="B37:G37"/>
    <mergeCell ref="B40:G40"/>
    <mergeCell ref="B41:G41"/>
    <mergeCell ref="B10:G10"/>
    <mergeCell ref="B14:G14"/>
    <mergeCell ref="B15:G15"/>
    <mergeCell ref="B17:G17"/>
    <mergeCell ref="B11:G11"/>
    <mergeCell ref="B12:G12"/>
    <mergeCell ref="B38:G38"/>
  </mergeCells>
  <pageMargins left="0.25" right="0.25" top="0.75" bottom="0.75" header="0.3" footer="0.3"/>
  <pageSetup paperSize="8" scale="74" fitToHeight="0" orientation="portrait" r:id="rId1"/>
  <rowBreaks count="2" manualBreakCount="2">
    <brk id="16" max="16383" man="1"/>
    <brk id="39"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3</vt:i4>
      </vt:variant>
    </vt:vector>
  </HeadingPairs>
  <TitlesOfParts>
    <vt:vector size="17" baseType="lpstr">
      <vt:lpstr>Préambule</vt:lpstr>
      <vt:lpstr>Axe 1</vt:lpstr>
      <vt:lpstr>Axe 2</vt:lpstr>
      <vt:lpstr>Liens axe 2</vt:lpstr>
      <vt:lpstr>Axe 3</vt:lpstr>
      <vt:lpstr>Axe 4</vt:lpstr>
      <vt:lpstr>Axe 5</vt:lpstr>
      <vt:lpstr>trame filière</vt:lpstr>
      <vt:lpstr>(Dé)Construction et aménagement</vt:lpstr>
      <vt:lpstr>Alimentation</vt:lpstr>
      <vt:lpstr>Indicateurs - en cours</vt:lpstr>
      <vt:lpstr>Note finale</vt:lpstr>
      <vt:lpstr>Règlementation</vt:lpstr>
      <vt:lpstr>Pour en savoir +</vt:lpstr>
      <vt:lpstr>'Axe 1'!Impression_des_titres</vt:lpstr>
      <vt:lpstr>'Axe 2'!Impression_des_titres</vt:lpstr>
      <vt:lpstr>'Axe 3'!Impression_des_titres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Manon</dc:creator>
  <cp:keywords/>
  <dc:description/>
  <cp:lastModifiedBy>CLAUDE Justine</cp:lastModifiedBy>
  <cp:revision/>
  <cp:lastPrinted>2019-01-11T10:04:21Z</cp:lastPrinted>
  <dcterms:created xsi:type="dcterms:W3CDTF">2018-03-21T08:55:56Z</dcterms:created>
  <dcterms:modified xsi:type="dcterms:W3CDTF">2019-06-12T13:23:43Z</dcterms:modified>
  <cp:category/>
  <cp:contentStatus/>
</cp:coreProperties>
</file>